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feb70a86f11a2eb/Desktop/Content/"/>
    </mc:Choice>
  </mc:AlternateContent>
  <xr:revisionPtr revIDLastSave="0" documentId="8_{0F7319E4-A513-4C37-B397-EE33EF2DDB19}" xr6:coauthVersionLast="46" xr6:coauthVersionMax="46" xr10:uidLastSave="{00000000-0000-0000-0000-000000000000}"/>
  <bookViews>
    <workbookView xWindow="-108" yWindow="-108" windowWidth="23256" windowHeight="12576"/>
  </bookViews>
  <sheets>
    <sheet name="Mortgage Payment Calculator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DATA_01" hidden="1">'Mortgage Payment Calculator'!$E$5:$E$9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'Mortgage Payment Calculator'!$B$2:$J$57</definedName>
    <definedName name="TemplatePrintArea">'Mortgage Payment Calculator'!$B$2:$J$57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3" i="2" l="1"/>
  <c r="O194" i="2" s="1"/>
  <c r="C14" i="2" s="1"/>
  <c r="Q209" i="2"/>
  <c r="Q210" i="2"/>
  <c r="J6" i="2"/>
  <c r="J5" i="2" s="1"/>
  <c r="Q211" i="2"/>
  <c r="O195" i="2" l="1"/>
  <c r="B13" i="2"/>
  <c r="B14" i="2"/>
  <c r="E20" i="2"/>
  <c r="E23" i="2"/>
  <c r="E22" i="2"/>
  <c r="E19" i="2"/>
  <c r="D13" i="2"/>
  <c r="E13" i="2"/>
  <c r="E18" i="2"/>
  <c r="E24" i="2"/>
  <c r="E21" i="2"/>
  <c r="E14" i="2"/>
  <c r="E17" i="2"/>
  <c r="E16" i="2"/>
  <c r="E15" i="2"/>
  <c r="C13" i="2"/>
  <c r="O196" i="2" l="1"/>
  <c r="C15" i="2"/>
  <c r="B15" i="2"/>
  <c r="M206" i="2"/>
  <c r="B28" i="2"/>
  <c r="G13" i="2"/>
  <c r="F13" i="2" s="1"/>
  <c r="Q212" i="2"/>
  <c r="O197" i="2" l="1"/>
  <c r="B16" i="2"/>
  <c r="C16" i="2"/>
  <c r="H13" i="2"/>
  <c r="J13" i="2"/>
  <c r="D14" i="2" s="1"/>
  <c r="M207" i="2"/>
  <c r="N206" i="2"/>
  <c r="I13" i="2"/>
  <c r="D28" i="2"/>
  <c r="B29" i="2"/>
  <c r="I28" i="2"/>
  <c r="G28" i="2" s="1"/>
  <c r="B17" i="2" l="1"/>
  <c r="O198" i="2"/>
  <c r="C17" i="2"/>
  <c r="B30" i="2"/>
  <c r="C29" i="2"/>
  <c r="D29" i="2"/>
  <c r="M208" i="2"/>
  <c r="N207" i="2"/>
  <c r="I29" i="2" s="1"/>
  <c r="G14" i="2"/>
  <c r="C18" i="2" l="1"/>
  <c r="O199" i="2"/>
  <c r="B18" i="2"/>
  <c r="B31" i="2"/>
  <c r="D30" i="2"/>
  <c r="C30" i="2"/>
  <c r="E29" i="2"/>
  <c r="G29" i="2" s="1"/>
  <c r="M209" i="2"/>
  <c r="N208" i="2"/>
  <c r="I30" i="2" s="1"/>
  <c r="F14" i="2"/>
  <c r="I14" i="2"/>
  <c r="O200" i="2" l="1"/>
  <c r="C19" i="2"/>
  <c r="B19" i="2"/>
  <c r="E30" i="2"/>
  <c r="F30" i="2" s="1"/>
  <c r="N209" i="2"/>
  <c r="M210" i="2"/>
  <c r="C31" i="2"/>
  <c r="B32" i="2"/>
  <c r="D31" i="2"/>
  <c r="I31" i="2"/>
  <c r="H14" i="2"/>
  <c r="J14" i="2"/>
  <c r="D15" i="2" s="1"/>
  <c r="F29" i="2"/>
  <c r="E31" i="2" l="1"/>
  <c r="B20" i="2"/>
  <c r="C20" i="2"/>
  <c r="O201" i="2"/>
  <c r="F31" i="2"/>
  <c r="G15" i="2"/>
  <c r="D32" i="2"/>
  <c r="B33" i="2"/>
  <c r="C32" i="2"/>
  <c r="M211" i="2"/>
  <c r="N210" i="2"/>
  <c r="I32" i="2" s="1"/>
  <c r="G30" i="2"/>
  <c r="G31" i="2" s="1"/>
  <c r="O202" i="2" l="1"/>
  <c r="C21" i="2"/>
  <c r="B21" i="2"/>
  <c r="M212" i="2"/>
  <c r="N211" i="2"/>
  <c r="C33" i="2"/>
  <c r="B34" i="2"/>
  <c r="I33" i="2"/>
  <c r="E33" i="2" s="1"/>
  <c r="D33" i="2"/>
  <c r="F15" i="2"/>
  <c r="I15" i="2"/>
  <c r="E32" i="2"/>
  <c r="F32" i="2" s="1"/>
  <c r="B22" i="2" l="1"/>
  <c r="O203" i="2"/>
  <c r="C22" i="2"/>
  <c r="F33" i="2"/>
  <c r="H15" i="2"/>
  <c r="J15" i="2"/>
  <c r="D16" i="2" s="1"/>
  <c r="C34" i="2"/>
  <c r="D34" i="2"/>
  <c r="B35" i="2"/>
  <c r="M213" i="2"/>
  <c r="N212" i="2"/>
  <c r="I34" i="2" s="1"/>
  <c r="E34" i="2" s="1"/>
  <c r="G32" i="2"/>
  <c r="G33" i="2" s="1"/>
  <c r="C23" i="2" l="1"/>
  <c r="B23" i="2"/>
  <c r="O204" i="2"/>
  <c r="G34" i="2"/>
  <c r="F34" i="2"/>
  <c r="B36" i="2"/>
  <c r="C35" i="2"/>
  <c r="D35" i="2"/>
  <c r="M214" i="2"/>
  <c r="N213" i="2"/>
  <c r="I35" i="2" s="1"/>
  <c r="G16" i="2"/>
  <c r="B24" i="2" l="1"/>
  <c r="C24" i="2"/>
  <c r="Q213" i="2"/>
  <c r="H28" i="2" s="1"/>
  <c r="H29" i="2" s="1"/>
  <c r="H30" i="2" s="1"/>
  <c r="H31" i="2" s="1"/>
  <c r="H32" i="2" s="1"/>
  <c r="H33" i="2" s="1"/>
  <c r="H34" i="2" s="1"/>
  <c r="E35" i="2"/>
  <c r="F16" i="2"/>
  <c r="I16" i="2"/>
  <c r="M215" i="2"/>
  <c r="N214" i="2"/>
  <c r="I36" i="2" s="1"/>
  <c r="E36" i="2" s="1"/>
  <c r="C36" i="2"/>
  <c r="B37" i="2"/>
  <c r="D36" i="2"/>
  <c r="F36" i="2" l="1"/>
  <c r="C37" i="2"/>
  <c r="B38" i="2"/>
  <c r="D37" i="2"/>
  <c r="H16" i="2"/>
  <c r="J16" i="2"/>
  <c r="D17" i="2" s="1"/>
  <c r="M216" i="2"/>
  <c r="N215" i="2"/>
  <c r="I37" i="2" s="1"/>
  <c r="E37" i="2" s="1"/>
  <c r="F37" i="2" s="1"/>
  <c r="F35" i="2"/>
  <c r="H35" i="2" s="1"/>
  <c r="H36" i="2" s="1"/>
  <c r="G35" i="2"/>
  <c r="G36" i="2" s="1"/>
  <c r="G37" i="2" l="1"/>
  <c r="D38" i="2"/>
  <c r="B39" i="2"/>
  <c r="C38" i="2"/>
  <c r="H37" i="2"/>
  <c r="M217" i="2"/>
  <c r="N216" i="2"/>
  <c r="I38" i="2" s="1"/>
  <c r="G17" i="2"/>
  <c r="B40" i="2" l="1"/>
  <c r="D39" i="2"/>
  <c r="C39" i="2"/>
  <c r="M218" i="2"/>
  <c r="N217" i="2"/>
  <c r="I39" i="2" s="1"/>
  <c r="E38" i="2"/>
  <c r="G38" i="2" s="1"/>
  <c r="F17" i="2"/>
  <c r="I17" i="2"/>
  <c r="M219" i="2" l="1"/>
  <c r="N218" i="2"/>
  <c r="E39" i="2"/>
  <c r="G39" i="2" s="1"/>
  <c r="D40" i="2"/>
  <c r="I40" i="2"/>
  <c r="B41" i="2"/>
  <c r="C40" i="2"/>
  <c r="H17" i="2"/>
  <c r="J17" i="2"/>
  <c r="D18" i="2" s="1"/>
  <c r="F38" i="2"/>
  <c r="H38" i="2" s="1"/>
  <c r="M220" i="2" l="1"/>
  <c r="N219" i="2"/>
  <c r="C41" i="2"/>
  <c r="D41" i="2"/>
  <c r="B42" i="2"/>
  <c r="I41" i="2"/>
  <c r="E40" i="2"/>
  <c r="G40" i="2" s="1"/>
  <c r="F39" i="2"/>
  <c r="H39" i="2" s="1"/>
  <c r="G18" i="2"/>
  <c r="E41" i="2" l="1"/>
  <c r="G41" i="2" s="1"/>
  <c r="F41" i="2"/>
  <c r="C42" i="2"/>
  <c r="D42" i="2"/>
  <c r="B43" i="2"/>
  <c r="F18" i="2"/>
  <c r="I18" i="2"/>
  <c r="F40" i="2"/>
  <c r="H40" i="2" s="1"/>
  <c r="M221" i="2"/>
  <c r="N220" i="2"/>
  <c r="I42" i="2" s="1"/>
  <c r="H41" i="2" l="1"/>
  <c r="E42" i="2"/>
  <c r="B44" i="2"/>
  <c r="D43" i="2"/>
  <c r="C43" i="2"/>
  <c r="M222" i="2"/>
  <c r="N221" i="2"/>
  <c r="I43" i="2" s="1"/>
  <c r="H18" i="2"/>
  <c r="J18" i="2"/>
  <c r="D19" i="2" s="1"/>
  <c r="B45" i="2" l="1"/>
  <c r="D44" i="2"/>
  <c r="C44" i="2"/>
  <c r="M223" i="2"/>
  <c r="N222" i="2"/>
  <c r="I44" i="2" s="1"/>
  <c r="G42" i="2"/>
  <c r="F42" i="2"/>
  <c r="H42" i="2" s="1"/>
  <c r="G19" i="2"/>
  <c r="E43" i="2"/>
  <c r="F43" i="2" s="1"/>
  <c r="H43" i="2" l="1"/>
  <c r="M224" i="2"/>
  <c r="N223" i="2"/>
  <c r="G43" i="2"/>
  <c r="E44" i="2"/>
  <c r="F44" i="2" s="1"/>
  <c r="H44" i="2" s="1"/>
  <c r="F19" i="2"/>
  <c r="I19" i="2"/>
  <c r="B46" i="2"/>
  <c r="I45" i="2"/>
  <c r="D45" i="2"/>
  <c r="C45" i="2"/>
  <c r="E45" i="2" l="1"/>
  <c r="F45" i="2" s="1"/>
  <c r="B47" i="2"/>
  <c r="D46" i="2"/>
  <c r="C46" i="2"/>
  <c r="G44" i="2"/>
  <c r="G45" i="2" s="1"/>
  <c r="H45" i="2"/>
  <c r="H19" i="2"/>
  <c r="J19" i="2"/>
  <c r="D20" i="2" s="1"/>
  <c r="M225" i="2"/>
  <c r="N224" i="2"/>
  <c r="I46" i="2" s="1"/>
  <c r="E46" i="2" s="1"/>
  <c r="G46" i="2" l="1"/>
  <c r="F46" i="2"/>
  <c r="H46" i="2" s="1"/>
  <c r="M226" i="2"/>
  <c r="N225" i="2"/>
  <c r="I47" i="2" s="1"/>
  <c r="G20" i="2"/>
  <c r="B48" i="2"/>
  <c r="D47" i="2"/>
  <c r="C47" i="2"/>
  <c r="E47" i="2" l="1"/>
  <c r="G47" i="2" s="1"/>
  <c r="C48" i="2"/>
  <c r="D48" i="2"/>
  <c r="B49" i="2"/>
  <c r="N226" i="2"/>
  <c r="I48" i="2" s="1"/>
  <c r="M227" i="2"/>
  <c r="F20" i="2"/>
  <c r="I20" i="2"/>
  <c r="M228" i="2" l="1"/>
  <c r="N227" i="2"/>
  <c r="H20" i="2"/>
  <c r="J20" i="2"/>
  <c r="D21" i="2" s="1"/>
  <c r="E48" i="2"/>
  <c r="G48" i="2" s="1"/>
  <c r="I49" i="2"/>
  <c r="B50" i="2"/>
  <c r="D49" i="2"/>
  <c r="C49" i="2"/>
  <c r="F47" i="2"/>
  <c r="H47" i="2" s="1"/>
  <c r="M229" i="2" l="1"/>
  <c r="N228" i="2"/>
  <c r="I50" i="2" s="1"/>
  <c r="E50" i="2" s="1"/>
  <c r="G21" i="2"/>
  <c r="E49" i="2"/>
  <c r="C50" i="2"/>
  <c r="B51" i="2"/>
  <c r="D50" i="2"/>
  <c r="F48" i="2"/>
  <c r="H48" i="2" s="1"/>
  <c r="F50" i="2" l="1"/>
  <c r="D51" i="2"/>
  <c r="C51" i="2"/>
  <c r="B52" i="2"/>
  <c r="F49" i="2"/>
  <c r="H49" i="2" s="1"/>
  <c r="H50" i="2" s="1"/>
  <c r="G49" i="2"/>
  <c r="G50" i="2" s="1"/>
  <c r="F21" i="2"/>
  <c r="I21" i="2"/>
  <c r="M230" i="2"/>
  <c r="N229" i="2"/>
  <c r="I51" i="2" s="1"/>
  <c r="E51" i="2" s="1"/>
  <c r="G51" i="2" l="1"/>
  <c r="F51" i="2"/>
  <c r="H21" i="2"/>
  <c r="J21" i="2"/>
  <c r="D22" i="2" s="1"/>
  <c r="C52" i="2"/>
  <c r="D52" i="2"/>
  <c r="B53" i="2"/>
  <c r="I52" i="2"/>
  <c r="E52" i="2" s="1"/>
  <c r="G52" i="2" s="1"/>
  <c r="M231" i="2"/>
  <c r="N230" i="2"/>
  <c r="H51" i="2"/>
  <c r="F52" i="2" l="1"/>
  <c r="N231" i="2"/>
  <c r="M232" i="2"/>
  <c r="G22" i="2"/>
  <c r="B54" i="2"/>
  <c r="D53" i="2"/>
  <c r="C53" i="2"/>
  <c r="I53" i="2"/>
  <c r="H52" i="2"/>
  <c r="E53" i="2" l="1"/>
  <c r="G53" i="2" s="1"/>
  <c r="M233" i="2"/>
  <c r="N232" i="2"/>
  <c r="I54" i="2" s="1"/>
  <c r="B55" i="2"/>
  <c r="D54" i="2"/>
  <c r="C54" i="2"/>
  <c r="F22" i="2"/>
  <c r="I22" i="2"/>
  <c r="E54" i="2" l="1"/>
  <c r="F54" i="2"/>
  <c r="G54" i="2"/>
  <c r="F53" i="2"/>
  <c r="H53" i="2" s="1"/>
  <c r="H22" i="2"/>
  <c r="J22" i="2"/>
  <c r="D23" i="2" s="1"/>
  <c r="M234" i="2"/>
  <c r="N233" i="2"/>
  <c r="I55" i="2" s="1"/>
  <c r="D55" i="2"/>
  <c r="B56" i="2"/>
  <c r="C55" i="2"/>
  <c r="H54" i="2" l="1"/>
  <c r="E55" i="2"/>
  <c r="M235" i="2"/>
  <c r="N235" i="2" s="1"/>
  <c r="N234" i="2"/>
  <c r="G23" i="2"/>
  <c r="I56" i="2"/>
  <c r="D56" i="2"/>
  <c r="C56" i="2"/>
  <c r="B57" i="2"/>
  <c r="E56" i="2" l="1"/>
  <c r="F56" i="2" s="1"/>
  <c r="F23" i="2"/>
  <c r="I23" i="2"/>
  <c r="F55" i="2"/>
  <c r="H55" i="2" s="1"/>
  <c r="H56" i="2" s="1"/>
  <c r="G55" i="2"/>
  <c r="G56" i="2" s="1"/>
  <c r="C57" i="2"/>
  <c r="H57" i="2" s="1"/>
  <c r="G57" i="2"/>
  <c r="F57" i="2"/>
  <c r="I57" i="2"/>
  <c r="D57" i="2"/>
  <c r="E57" i="2"/>
  <c r="H23" i="2" l="1"/>
  <c r="J23" i="2"/>
  <c r="D24" i="2" s="1"/>
  <c r="G24" i="2" l="1"/>
  <c r="F24" i="2" l="1"/>
  <c r="I24" i="2"/>
  <c r="J8" i="2" s="1"/>
  <c r="J9" i="2" s="1"/>
  <c r="H24" i="2" l="1"/>
  <c r="J24" i="2"/>
  <c r="C28" i="2" l="1"/>
  <c r="E28" i="2" s="1"/>
  <c r="F28" i="2" s="1"/>
  <c r="J7" i="2"/>
</calcChain>
</file>

<file path=xl/sharedStrings.xml><?xml version="1.0" encoding="utf-8"?>
<sst xmlns="http://schemas.openxmlformats.org/spreadsheetml/2006/main" count="68" uniqueCount="51">
  <si>
    <t>Year</t>
  </si>
  <si>
    <t>Month</t>
  </si>
  <si>
    <t xml:space="preserve">Principal </t>
  </si>
  <si>
    <t xml:space="preserve">Interest </t>
  </si>
  <si>
    <t>Principal</t>
  </si>
  <si>
    <t>Interest</t>
  </si>
  <si>
    <t>DO NOT ERASE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</si>
  <si>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</si>
  <si>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</si>
  <si>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</si>
  <si>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</si>
  <si>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</si>
  <si>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</si>
  <si>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</si>
  <si>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</si>
  <si>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</si>
  <si>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</si>
  <si>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</si>
  <si>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</si>
  <si>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</si>
  <si>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Base Year</t>
  </si>
  <si>
    <t>Years</t>
  </si>
  <si>
    <t>Last Year</t>
  </si>
  <si>
    <t>Mos in Last Yr</t>
  </si>
  <si>
    <t>_Example</t>
  </si>
  <si>
    <t>_Shading</t>
  </si>
  <si>
    <t>_Series</t>
  </si>
  <si>
    <t>_Look</t>
  </si>
  <si>
    <t>OfficeReady 3.0</t>
  </si>
  <si>
    <t>Loan principal amount</t>
  </si>
  <si>
    <t>Loan period in years</t>
  </si>
  <si>
    <t>Base year of loan</t>
  </si>
  <si>
    <t>Base month of loan</t>
  </si>
  <si>
    <t>Annual loan payments</t>
  </si>
  <si>
    <t>Monthly payments</t>
  </si>
  <si>
    <t>Interest in first calendar year</t>
  </si>
  <si>
    <t>Interest over term of loan</t>
  </si>
  <si>
    <t>Sum of all payments</t>
  </si>
  <si>
    <t>Inputs</t>
  </si>
  <si>
    <t>Yearly Schedule of Balances and Payments</t>
  </si>
  <si>
    <t>Beginning Balance</t>
  </si>
  <si>
    <t>Ending Balance</t>
  </si>
  <si>
    <t>Payment</t>
  </si>
  <si>
    <t>Annual interest rate (x.xxx%)</t>
  </si>
  <si>
    <t>Payments in First Year</t>
  </si>
  <si>
    <t>Key Loan Figures</t>
  </si>
  <si>
    <t xml:space="preserve">Mortgage Payment </t>
  </si>
  <si>
    <t>Cumulative Principal Paid</t>
  </si>
  <si>
    <t>Cumulative Interest Paid</t>
  </si>
  <si>
    <t>Excel Mortgage Calculator Template</t>
  </si>
  <si>
    <t>To use this Loan Payment calculator, fill-in the yellow shaded cells. Your mortgage amortization schedule will complete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</si>
</sst>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171" formatCode="0_)"/>
    <numFmt numFmtId="173" formatCode="mm/dd/yy"/>
    <numFmt numFmtId="174" formatCode="0_);[Red]\(0\)"/>
    <numFmt numFmtId="176" formatCode="&quot;$&quot;#,##0.00"/>
    <numFmt numFmtId="177" formatCode="0.000%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10"/>
      <color indexed="59"/>
      <name val="Tahoma"/>
      <family val="2"/>
    </font>
    <font>
      <sz val="8"/>
      <name val="Tahoma"/>
      <family val="2"/>
    </font>
    <font>
      <sz val="8"/>
      <color indexed="59"/>
      <name val="Tahoma"/>
      <family val="2"/>
    </font>
    <font>
      <u/>
      <sz val="10"/>
      <color indexed="12"/>
      <name val="Arial"/>
      <family val="2"/>
    </font>
    <font>
      <b/>
      <u/>
      <sz val="14"/>
      <name val="Arial"/>
      <family val="2"/>
    </font>
    <font>
      <b/>
      <sz val="10"/>
      <color theme="0"/>
      <name val="Tahoma"/>
      <family val="2"/>
    </font>
    <font>
      <i/>
      <sz val="11"/>
      <color rgb="FF0B518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A9F4B"/>
        <bgColor indexed="64"/>
      </patternFill>
    </fill>
    <fill>
      <patternFill patternType="solid">
        <fgColor rgb="FFF796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38" fontId="0" fillId="0" borderId="0" applyFon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9" fontId="1" fillId="0" borderId="0" applyFont="0" applyFill="0" applyBorder="0" applyAlignment="0" applyProtection="0"/>
  </cellStyleXfs>
  <cellXfs count="56">
    <xf numFmtId="38" fontId="0" fillId="0" borderId="0" xfId="0"/>
    <xf numFmtId="38" fontId="2" fillId="0" borderId="0" xfId="0" applyFont="1" applyAlignment="1" applyProtection="1">
      <alignment horizontal="left"/>
    </xf>
    <xf numFmtId="38" fontId="6" fillId="0" borderId="0" xfId="0" applyFont="1" applyAlignment="1" applyProtection="1">
      <alignment horizontal="left"/>
    </xf>
    <xf numFmtId="38" fontId="2" fillId="0" borderId="0" xfId="0" applyFont="1" applyFill="1" applyAlignment="1" applyProtection="1">
      <alignment horizontal="left" vertical="center"/>
    </xf>
    <xf numFmtId="38" fontId="2" fillId="0" borderId="0" xfId="0" applyFont="1" applyAlignment="1" applyProtection="1">
      <alignment horizontal="left" vertical="center"/>
    </xf>
    <xf numFmtId="38" fontId="6" fillId="0" borderId="0" xfId="0" applyFont="1" applyAlignment="1" applyProtection="1">
      <alignment horizontal="left" vertical="center"/>
    </xf>
    <xf numFmtId="38" fontId="2" fillId="0" borderId="0" xfId="0" applyFont="1" applyFill="1" applyAlignment="1">
      <alignment horizontal="left" vertical="center"/>
    </xf>
    <xf numFmtId="39" fontId="3" fillId="2" borderId="2" xfId="0" applyNumberFormat="1" applyFont="1" applyFill="1" applyBorder="1" applyAlignment="1" applyProtection="1">
      <alignment horizontal="left" vertical="center"/>
    </xf>
    <xf numFmtId="39" fontId="6" fillId="2" borderId="3" xfId="0" applyNumberFormat="1" applyFont="1" applyFill="1" applyBorder="1" applyAlignment="1" applyProtection="1">
      <alignment horizontal="left" vertical="center"/>
    </xf>
    <xf numFmtId="39" fontId="2" fillId="2" borderId="4" xfId="0" applyNumberFormat="1" applyFont="1" applyFill="1" applyBorder="1" applyAlignment="1" applyProtection="1">
      <alignment horizontal="left" vertical="center"/>
    </xf>
    <xf numFmtId="39" fontId="2" fillId="2" borderId="5" xfId="0" applyNumberFormat="1" applyFont="1" applyFill="1" applyBorder="1" applyAlignment="1" applyProtection="1">
      <alignment horizontal="left" vertical="center"/>
    </xf>
    <xf numFmtId="39" fontId="6" fillId="2" borderId="0" xfId="0" applyNumberFormat="1" applyFont="1" applyFill="1" applyAlignment="1" applyProtection="1">
      <alignment horizontal="left" vertical="center"/>
    </xf>
    <xf numFmtId="39" fontId="2" fillId="2" borderId="6" xfId="0" applyNumberFormat="1" applyFont="1" applyFill="1" applyBorder="1" applyAlignment="1" applyProtection="1">
      <alignment horizontal="left" vertical="center"/>
    </xf>
    <xf numFmtId="171" fontId="2" fillId="2" borderId="5" xfId="0" applyNumberFormat="1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left" vertical="center"/>
    </xf>
    <xf numFmtId="39" fontId="2" fillId="2" borderId="7" xfId="0" applyNumberFormat="1" applyFont="1" applyFill="1" applyBorder="1" applyAlignment="1" applyProtection="1">
      <alignment horizontal="left" vertical="center"/>
    </xf>
    <xf numFmtId="39" fontId="6" fillId="2" borderId="8" xfId="0" applyNumberFormat="1" applyFont="1" applyFill="1" applyBorder="1" applyAlignment="1" applyProtection="1">
      <alignment horizontal="left" vertical="center"/>
    </xf>
    <xf numFmtId="39" fontId="2" fillId="2" borderId="9" xfId="0" applyNumberFormat="1" applyFont="1" applyFill="1" applyBorder="1" applyAlignment="1" applyProtection="1">
      <alignment horizontal="left" vertical="center"/>
    </xf>
    <xf numFmtId="37" fontId="4" fillId="0" borderId="0" xfId="0" applyNumberFormat="1" applyFont="1" applyFill="1" applyBorder="1" applyAlignment="1" applyProtection="1">
      <alignment horizontal="left" vertical="center"/>
    </xf>
    <xf numFmtId="38" fontId="2" fillId="0" borderId="0" xfId="0" applyFont="1" applyFill="1" applyBorder="1" applyAlignment="1" applyProtection="1">
      <alignment horizontal="left" vertical="center"/>
    </xf>
    <xf numFmtId="38" fontId="7" fillId="0" borderId="0" xfId="0" applyFont="1" applyFill="1" applyAlignment="1" applyProtection="1">
      <alignment horizontal="left" vertical="center"/>
    </xf>
    <xf numFmtId="38" fontId="7" fillId="0" borderId="0" xfId="0" applyFont="1" applyAlignment="1" applyProtection="1">
      <alignment horizontal="left" vertical="center"/>
    </xf>
    <xf numFmtId="38" fontId="8" fillId="0" borderId="0" xfId="0" applyFont="1" applyAlignment="1" applyProtection="1">
      <alignment horizontal="left" vertical="center"/>
    </xf>
    <xf numFmtId="38" fontId="2" fillId="0" borderId="0" xfId="0" applyFont="1" applyFill="1" applyAlignment="1" applyProtection="1">
      <alignment horizontal="left" vertical="center" wrapText="1"/>
    </xf>
    <xf numFmtId="38" fontId="2" fillId="0" borderId="0" xfId="0" applyFont="1" applyAlignment="1" applyProtection="1">
      <alignment horizontal="left" vertical="center" wrapText="1"/>
    </xf>
    <xf numFmtId="38" fontId="6" fillId="0" borderId="0" xfId="0" applyFont="1" applyAlignment="1" applyProtection="1">
      <alignment horizontal="left" vertical="center" wrapText="1"/>
    </xf>
    <xf numFmtId="38" fontId="2" fillId="0" borderId="0" xfId="0" applyFont="1" applyFill="1" applyAlignment="1" applyProtection="1">
      <alignment horizontal="left"/>
    </xf>
    <xf numFmtId="38" fontId="2" fillId="0" borderId="0" xfId="0" applyFont="1" applyFill="1" applyBorder="1" applyAlignment="1" applyProtection="1">
      <alignment horizontal="left"/>
    </xf>
    <xf numFmtId="39" fontId="5" fillId="3" borderId="10" xfId="0" applyNumberFormat="1" applyFont="1" applyFill="1" applyBorder="1" applyAlignment="1" applyProtection="1">
      <alignment horizontal="left" vertical="center" wrapText="1"/>
    </xf>
    <xf numFmtId="38" fontId="5" fillId="3" borderId="11" xfId="0" applyFont="1" applyFill="1" applyBorder="1" applyAlignment="1" applyProtection="1">
      <alignment horizontal="left" vertical="center" wrapText="1"/>
    </xf>
    <xf numFmtId="39" fontId="5" fillId="3" borderId="1" xfId="0" applyNumberFormat="1" applyFont="1" applyFill="1" applyBorder="1" applyAlignment="1" applyProtection="1">
      <alignment horizontal="left" vertical="center" wrapText="1"/>
    </xf>
    <xf numFmtId="39" fontId="5" fillId="3" borderId="11" xfId="0" applyNumberFormat="1" applyFont="1" applyFill="1" applyBorder="1" applyAlignment="1" applyProtection="1">
      <alignment horizontal="left" vertical="center" wrapText="1"/>
    </xf>
    <xf numFmtId="171" fontId="2" fillId="4" borderId="1" xfId="0" applyNumberFormat="1" applyFont="1" applyFill="1" applyBorder="1" applyAlignment="1" applyProtection="1">
      <alignment horizontal="left" vertical="center"/>
    </xf>
    <xf numFmtId="38" fontId="2" fillId="4" borderId="1" xfId="0" applyFont="1" applyFill="1" applyBorder="1" applyAlignment="1" applyProtection="1">
      <alignment horizontal="left" vertical="center"/>
    </xf>
    <xf numFmtId="7" fontId="2" fillId="4" borderId="1" xfId="0" applyNumberFormat="1" applyFont="1" applyFill="1" applyBorder="1" applyAlignment="1" applyProtection="1">
      <alignment horizontal="right" vertical="center"/>
    </xf>
    <xf numFmtId="176" fontId="2" fillId="4" borderId="1" xfId="0" applyNumberFormat="1" applyFont="1" applyFill="1" applyBorder="1" applyAlignment="1" applyProtection="1">
      <alignment horizontal="right" vertical="center"/>
    </xf>
    <xf numFmtId="38" fontId="2" fillId="0" borderId="0" xfId="0" applyFont="1" applyAlignment="1" applyProtection="1">
      <alignment horizontal="right" vertical="center"/>
    </xf>
    <xf numFmtId="38" fontId="9" fillId="0" borderId="0" xfId="3" applyNumberFormat="1" applyFont="1" applyFill="1" applyBorder="1" applyAlignment="1" applyProtection="1">
      <alignment horizontal="left"/>
    </xf>
    <xf numFmtId="38" fontId="10" fillId="0" borderId="0" xfId="0" applyFont="1" applyBorder="1" applyAlignment="1" applyProtection="1">
      <alignment horizontal="left"/>
    </xf>
    <xf numFmtId="39" fontId="5" fillId="5" borderId="12" xfId="0" applyNumberFormat="1" applyFont="1" applyFill="1" applyBorder="1" applyAlignment="1" applyProtection="1">
      <alignment horizontal="left" vertical="center"/>
    </xf>
    <xf numFmtId="39" fontId="5" fillId="5" borderId="13" xfId="0" applyNumberFormat="1" applyFont="1" applyFill="1" applyBorder="1" applyAlignment="1" applyProtection="1">
      <alignment horizontal="left" vertical="center"/>
    </xf>
    <xf numFmtId="39" fontId="5" fillId="5" borderId="14" xfId="0" applyNumberFormat="1" applyFont="1" applyFill="1" applyBorder="1" applyAlignment="1" applyProtection="1">
      <alignment horizontal="left" vertical="center"/>
    </xf>
    <xf numFmtId="38" fontId="2" fillId="0" borderId="12" xfId="0" applyFont="1" applyFill="1" applyBorder="1" applyAlignment="1" applyProtection="1">
      <alignment horizontal="left" vertical="center"/>
    </xf>
    <xf numFmtId="38" fontId="2" fillId="0" borderId="13" xfId="0" applyFont="1" applyFill="1" applyBorder="1" applyAlignment="1" applyProtection="1">
      <alignment horizontal="left" vertical="center"/>
    </xf>
    <xf numFmtId="38" fontId="2" fillId="0" borderId="14" xfId="0" applyFont="1" applyFill="1" applyBorder="1" applyAlignment="1" applyProtection="1">
      <alignment horizontal="left" vertical="center"/>
    </xf>
    <xf numFmtId="7" fontId="2" fillId="6" borderId="1" xfId="0" applyNumberFormat="1" applyFont="1" applyFill="1" applyBorder="1" applyAlignment="1" applyProtection="1">
      <alignment horizontal="left" vertical="center"/>
      <protection locked="0"/>
    </xf>
    <xf numFmtId="177" fontId="2" fillId="6" borderId="1" xfId="0" applyNumberFormat="1" applyFont="1" applyFill="1" applyBorder="1" applyAlignment="1" applyProtection="1">
      <alignment horizontal="left" vertical="center"/>
      <protection locked="0"/>
    </xf>
    <xf numFmtId="37" fontId="2" fillId="6" borderId="1" xfId="0" applyNumberFormat="1" applyFont="1" applyFill="1" applyBorder="1" applyAlignment="1" applyProtection="1">
      <alignment horizontal="left" vertical="center"/>
      <protection locked="0"/>
    </xf>
    <xf numFmtId="171" fontId="2" fillId="6" borderId="1" xfId="0" applyNumberFormat="1" applyFont="1" applyFill="1" applyBorder="1" applyAlignment="1" applyProtection="1">
      <alignment horizontal="left" vertical="center"/>
      <protection locked="0"/>
    </xf>
    <xf numFmtId="39" fontId="11" fillId="5" borderId="12" xfId="0" applyNumberFormat="1" applyFont="1" applyFill="1" applyBorder="1" applyAlignment="1" applyProtection="1">
      <alignment horizontal="right" vertical="center"/>
    </xf>
    <xf numFmtId="39" fontId="11" fillId="5" borderId="13" xfId="0" applyNumberFormat="1" applyFont="1" applyFill="1" applyBorder="1" applyAlignment="1" applyProtection="1">
      <alignment horizontal="right" vertical="center"/>
    </xf>
    <xf numFmtId="39" fontId="11" fillId="5" borderId="14" xfId="0" applyNumberFormat="1" applyFont="1" applyFill="1" applyBorder="1" applyAlignment="1" applyProtection="1">
      <alignment horizontal="right" vertical="center"/>
    </xf>
    <xf numFmtId="39" fontId="11" fillId="5" borderId="12" xfId="0" applyNumberFormat="1" applyFont="1" applyFill="1" applyBorder="1" applyAlignment="1" applyProtection="1">
      <alignment horizontal="center" vertical="center"/>
    </xf>
    <xf numFmtId="39" fontId="11" fillId="5" borderId="13" xfId="0" applyNumberFormat="1" applyFont="1" applyFill="1" applyBorder="1" applyAlignment="1" applyProtection="1">
      <alignment horizontal="center" vertical="center"/>
    </xf>
    <xf numFmtId="39" fontId="11" fillId="5" borderId="14" xfId="0" applyNumberFormat="1" applyFont="1" applyFill="1" applyBorder="1" applyAlignment="1" applyProtection="1">
      <alignment horizontal="center" vertical="center"/>
    </xf>
    <xf numFmtId="38" fontId="12" fillId="0" borderId="0" xfId="0" applyFont="1"/>
  </cellXfs>
  <cellStyles count="5">
    <cellStyle name="Date" xfId="1"/>
    <cellStyle name="Fixed" xfId="2"/>
    <cellStyle name="Hyperlink" xfId="3" builtinId="8"/>
    <cellStyle name="Normal" xfId="0" builtinId="0"/>
    <cellStyle name="Text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B5186"/>
      <color rgb="FFF79621"/>
      <color rgb="FF6A9F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/>
  </sheetPr>
  <dimension ref="A1:Q235"/>
  <sheetViews>
    <sheetView showGridLines="0" tabSelected="1" zoomScaleNormal="100" workbookViewId="0">
      <selection activeCell="N6" sqref="N6"/>
    </sheetView>
  </sheetViews>
  <sheetFormatPr defaultRowHeight="13.2" x14ac:dyDescent="0.25"/>
  <cols>
    <col min="1" max="1" width="1.6640625" customWidth="1"/>
    <col min="2" max="2" width="6.109375" customWidth="1"/>
    <col min="3" max="3" width="13.33203125" customWidth="1"/>
    <col min="4" max="4" width="13.88671875" customWidth="1"/>
    <col min="5" max="5" width="13.109375" customWidth="1"/>
    <col min="6" max="6" width="11.6640625" customWidth="1"/>
    <col min="7" max="7" width="13" customWidth="1"/>
    <col min="8" max="8" width="13.33203125" customWidth="1"/>
    <col min="9" max="9" width="11.6640625" customWidth="1"/>
    <col min="10" max="10" width="14.44140625" customWidth="1"/>
    <col min="11" max="11" width="4.6640625" customWidth="1"/>
  </cols>
  <sheetData>
    <row r="1" spans="1:17" ht="14.4" x14ac:dyDescent="0.3">
      <c r="B1" s="55" t="s">
        <v>50</v>
      </c>
    </row>
    <row r="2" spans="1:17" ht="48.9" customHeight="1" x14ac:dyDescent="0.3">
      <c r="A2" s="26"/>
      <c r="B2" s="38" t="s">
        <v>49</v>
      </c>
      <c r="C2" s="27"/>
      <c r="D2" s="27"/>
      <c r="E2" s="27"/>
      <c r="F2" s="27"/>
      <c r="G2" s="37"/>
      <c r="H2" s="27"/>
      <c r="I2" s="27"/>
      <c r="J2" s="27"/>
      <c r="K2" s="26"/>
      <c r="L2" s="1"/>
      <c r="M2" s="1"/>
      <c r="N2" s="2"/>
      <c r="O2" s="2"/>
      <c r="P2" s="2"/>
      <c r="Q2" s="1"/>
    </row>
    <row r="3" spans="1:17" ht="4.5" customHeight="1" x14ac:dyDescent="0.25">
      <c r="A3" s="3"/>
      <c r="B3" s="18"/>
      <c r="C3" s="19"/>
      <c r="D3" s="19"/>
      <c r="E3" s="19"/>
      <c r="F3" s="19"/>
      <c r="G3" s="19"/>
      <c r="H3" s="19"/>
      <c r="I3" s="19"/>
      <c r="J3" s="19"/>
      <c r="K3" s="3"/>
      <c r="L3" s="4"/>
      <c r="M3" s="4"/>
      <c r="N3" s="5"/>
      <c r="O3" s="5"/>
      <c r="P3" s="5"/>
      <c r="Q3" s="4"/>
    </row>
    <row r="4" spans="1:17" ht="18" customHeight="1" x14ac:dyDescent="0.25">
      <c r="A4" s="3"/>
      <c r="B4" s="49" t="s">
        <v>38</v>
      </c>
      <c r="C4" s="50"/>
      <c r="D4" s="50"/>
      <c r="E4" s="51"/>
      <c r="F4" s="3"/>
      <c r="G4" s="52" t="s">
        <v>45</v>
      </c>
      <c r="H4" s="53"/>
      <c r="I4" s="53"/>
      <c r="J4" s="54"/>
      <c r="K4" s="4"/>
      <c r="L4" s="4"/>
      <c r="M4" s="4"/>
      <c r="N4" s="5"/>
      <c r="O4" s="5"/>
      <c r="P4" s="5"/>
      <c r="Q4" s="4"/>
    </row>
    <row r="5" spans="1:17" ht="12" customHeight="1" x14ac:dyDescent="0.25">
      <c r="A5" s="20"/>
      <c r="B5" s="42" t="s">
        <v>29</v>
      </c>
      <c r="C5" s="43"/>
      <c r="D5" s="44"/>
      <c r="E5" s="45">
        <v>250000</v>
      </c>
      <c r="F5" s="3"/>
      <c r="G5" s="42" t="s">
        <v>33</v>
      </c>
      <c r="H5" s="43"/>
      <c r="I5" s="44"/>
      <c r="J5" s="34">
        <f>IF(AND(ISNUMBER(E5),ISNUMBER(E6),ISNUMBER(E7),ISNUMBER(E8)),J6*12,"")</f>
        <v>12446.76</v>
      </c>
      <c r="K5" s="21"/>
      <c r="L5" s="21"/>
      <c r="M5" s="21"/>
      <c r="N5" s="22"/>
      <c r="O5" s="22"/>
      <c r="P5" s="22"/>
      <c r="Q5" s="21"/>
    </row>
    <row r="6" spans="1:17" ht="12" customHeight="1" x14ac:dyDescent="0.25">
      <c r="A6" s="20"/>
      <c r="B6" s="42" t="s">
        <v>43</v>
      </c>
      <c r="C6" s="43"/>
      <c r="D6" s="44"/>
      <c r="E6" s="46">
        <v>2.8750000000000001E-2</v>
      </c>
      <c r="F6" s="3"/>
      <c r="G6" s="42" t="s">
        <v>34</v>
      </c>
      <c r="H6" s="43"/>
      <c r="I6" s="44"/>
      <c r="J6" s="34">
        <f>IF(AND(ISNUMBER(E5),ISNUMBER(E6),ISNUMBER(E7),ISNUMBER(E8)),ROUND(PMT(E6/12,Q209,-E5),2),"")</f>
        <v>1037.23</v>
      </c>
      <c r="K6" s="21"/>
      <c r="L6" s="21"/>
      <c r="M6" s="21"/>
      <c r="N6" s="22"/>
      <c r="O6" s="22"/>
      <c r="P6" s="22"/>
      <c r="Q6" s="21"/>
    </row>
    <row r="7" spans="1:17" ht="12" customHeight="1" x14ac:dyDescent="0.25">
      <c r="A7" s="20"/>
      <c r="B7" s="42" t="s">
        <v>30</v>
      </c>
      <c r="C7" s="43"/>
      <c r="D7" s="44"/>
      <c r="E7" s="47">
        <v>30</v>
      </c>
      <c r="F7" s="3"/>
      <c r="G7" s="42" t="s">
        <v>35</v>
      </c>
      <c r="H7" s="43"/>
      <c r="I7" s="44"/>
      <c r="J7" s="34">
        <f>IF(AND(ISNUMBER(E5),ISNUMBER(E6),ISNUMBER(E7),ISNUMBER(E8)),VLOOKUP("Dec",C13:J24,7,0),"")</f>
        <v>7117.65</v>
      </c>
      <c r="K7" s="21"/>
      <c r="L7" s="21"/>
      <c r="M7" s="21"/>
      <c r="N7" s="22"/>
      <c r="O7" s="22"/>
      <c r="P7" s="22"/>
      <c r="Q7" s="21"/>
    </row>
    <row r="8" spans="1:17" ht="12" customHeight="1" x14ac:dyDescent="0.25">
      <c r="A8" s="20"/>
      <c r="B8" s="42" t="s">
        <v>31</v>
      </c>
      <c r="C8" s="43"/>
      <c r="D8" s="44"/>
      <c r="E8" s="48">
        <v>2021</v>
      </c>
      <c r="F8" s="3"/>
      <c r="G8" s="42" t="s">
        <v>36</v>
      </c>
      <c r="H8" s="43"/>
      <c r="I8" s="44"/>
      <c r="J8" s="34">
        <f>IF(AND(ISNUMBER(E5),ISNUMBER(E6),ISNUMBER(E7),ISNUMBER(E8)),MAX(I24,H28:H57),"")</f>
        <v>123402.79999999994</v>
      </c>
      <c r="K8" s="21"/>
      <c r="L8" s="21"/>
      <c r="M8" s="21"/>
      <c r="N8" s="22"/>
      <c r="O8" s="22"/>
      <c r="P8" s="22"/>
      <c r="Q8" s="21"/>
    </row>
    <row r="9" spans="1:17" ht="12" customHeight="1" x14ac:dyDescent="0.25">
      <c r="A9" s="20"/>
      <c r="B9" s="42" t="s">
        <v>32</v>
      </c>
      <c r="C9" s="43"/>
      <c r="D9" s="44"/>
      <c r="E9" s="47">
        <v>1</v>
      </c>
      <c r="F9" s="3"/>
      <c r="G9" s="42" t="s">
        <v>37</v>
      </c>
      <c r="H9" s="43"/>
      <c r="I9" s="44"/>
      <c r="J9" s="34">
        <f>IF(AND(ISNUMBER(E5),ISNUMBER(E6),ISNUMBER(E7),ISNUMBER(E8)),J8+E5,"")</f>
        <v>373402.79999999993</v>
      </c>
      <c r="K9" s="20"/>
      <c r="L9" s="21"/>
      <c r="M9" s="21"/>
      <c r="N9" s="22"/>
      <c r="O9" s="22"/>
      <c r="P9" s="22"/>
      <c r="Q9" s="21"/>
    </row>
    <row r="10" spans="1:17" ht="9.9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  <c r="M10" s="4"/>
      <c r="N10" s="5"/>
      <c r="O10" s="5"/>
      <c r="P10" s="5"/>
      <c r="Q10" s="4"/>
    </row>
    <row r="11" spans="1:17" ht="18" customHeight="1" x14ac:dyDescent="0.25">
      <c r="A11" s="3"/>
      <c r="B11" s="39" t="s">
        <v>44</v>
      </c>
      <c r="C11" s="40"/>
      <c r="D11" s="40"/>
      <c r="E11" s="40"/>
      <c r="F11" s="40"/>
      <c r="G11" s="40"/>
      <c r="H11" s="40"/>
      <c r="I11" s="40"/>
      <c r="J11" s="41"/>
      <c r="K11" s="3"/>
      <c r="L11" s="4"/>
      <c r="M11" s="4"/>
      <c r="N11" s="5"/>
      <c r="O11" s="5"/>
      <c r="P11" s="5"/>
      <c r="Q11" s="4"/>
    </row>
    <row r="12" spans="1:17" ht="34.5" customHeight="1" x14ac:dyDescent="0.25">
      <c r="A12" s="23"/>
      <c r="B12" s="28" t="s">
        <v>0</v>
      </c>
      <c r="C12" s="30" t="s">
        <v>1</v>
      </c>
      <c r="D12" s="30" t="s">
        <v>40</v>
      </c>
      <c r="E12" s="30" t="s">
        <v>46</v>
      </c>
      <c r="F12" s="30" t="s">
        <v>2</v>
      </c>
      <c r="G12" s="30" t="s">
        <v>3</v>
      </c>
      <c r="H12" s="30" t="s">
        <v>47</v>
      </c>
      <c r="I12" s="30" t="s">
        <v>48</v>
      </c>
      <c r="J12" s="29" t="s">
        <v>41</v>
      </c>
      <c r="K12" s="23"/>
      <c r="L12" s="24"/>
      <c r="M12" s="24"/>
      <c r="N12" s="25"/>
      <c r="O12" s="25"/>
      <c r="P12" s="25"/>
      <c r="Q12" s="24"/>
    </row>
    <row r="13" spans="1:17" ht="11.7" customHeight="1" x14ac:dyDescent="0.25">
      <c r="A13" s="20"/>
      <c r="B13" s="32">
        <f>IF(SUM(O193)=1,E8,"")</f>
        <v>2021</v>
      </c>
      <c r="C13" s="33" t="str">
        <f>VLOOKUP(O193,M193:N204,2)</f>
        <v>Jan</v>
      </c>
      <c r="D13" s="34">
        <f>IF(ISTEXT(J5),"",E5)</f>
        <v>250000</v>
      </c>
      <c r="E13" s="34">
        <f t="shared" ref="E13:E24" si="0">IF(ISTEXT(J$6),"",J$6)</f>
        <v>1037.23</v>
      </c>
      <c r="F13" s="34">
        <f t="shared" ref="F13:F24" si="1">IF(ISTEXT(J$5),"",E13-G13)</f>
        <v>438.27</v>
      </c>
      <c r="G13" s="34">
        <f t="shared" ref="G13:G24" si="2">IF(ISTEXT(J$5),"",ROUND(D13*(E$6/12),2))</f>
        <v>598.96</v>
      </c>
      <c r="H13" s="34">
        <f>IF(ISTEXT($J$5),"",SUM(F$13:F13))</f>
        <v>438.27</v>
      </c>
      <c r="I13" s="34">
        <f>IF(ISTEXT($J$5),"",SUM(G$13:G13))</f>
        <v>598.96</v>
      </c>
      <c r="J13" s="34">
        <f t="shared" ref="J13:J24" si="3">IF(ISTEXT(J$5),"",D13-F13)</f>
        <v>249561.73</v>
      </c>
      <c r="K13" s="20"/>
      <c r="L13" s="21"/>
      <c r="M13" s="21"/>
      <c r="N13" s="22"/>
      <c r="O13" s="22"/>
      <c r="P13" s="22"/>
      <c r="Q13" s="21"/>
    </row>
    <row r="14" spans="1:17" ht="11.7" customHeight="1" x14ac:dyDescent="0.25">
      <c r="A14" s="20"/>
      <c r="B14" s="32" t="str">
        <f>IF(O194=1,E8+1,"")</f>
        <v/>
      </c>
      <c r="C14" s="33" t="str">
        <f>VLOOKUP(O194,M193:N204,2)</f>
        <v>Feb</v>
      </c>
      <c r="D14" s="34">
        <f t="shared" ref="D14:D24" si="4">IF(ISTEXT(J$5),"",J13)</f>
        <v>249561.73</v>
      </c>
      <c r="E14" s="34">
        <f t="shared" si="0"/>
        <v>1037.23</v>
      </c>
      <c r="F14" s="34">
        <f t="shared" si="1"/>
        <v>439.32000000000005</v>
      </c>
      <c r="G14" s="34">
        <f t="shared" si="2"/>
        <v>597.91</v>
      </c>
      <c r="H14" s="34">
        <f>IF(ISTEXT($J$5),"",SUM(F$13:F14))</f>
        <v>877.59</v>
      </c>
      <c r="I14" s="34">
        <f>IF(ISTEXT($J$5),"",SUM(G$13:G14))</f>
        <v>1196.8699999999999</v>
      </c>
      <c r="J14" s="34">
        <f t="shared" si="3"/>
        <v>249122.41</v>
      </c>
      <c r="K14" s="20"/>
      <c r="L14" s="21"/>
      <c r="M14" s="21"/>
      <c r="N14" s="22"/>
      <c r="O14" s="22"/>
      <c r="P14" s="22"/>
      <c r="Q14" s="21"/>
    </row>
    <row r="15" spans="1:17" ht="11.7" customHeight="1" x14ac:dyDescent="0.25">
      <c r="A15" s="20"/>
      <c r="B15" s="32" t="str">
        <f>IF(O195=1,E8+1,"")</f>
        <v/>
      </c>
      <c r="C15" s="33" t="str">
        <f>VLOOKUP(O195,M193:N204,2)</f>
        <v>Mar</v>
      </c>
      <c r="D15" s="34">
        <f t="shared" si="4"/>
        <v>249122.41</v>
      </c>
      <c r="E15" s="34">
        <f t="shared" si="0"/>
        <v>1037.23</v>
      </c>
      <c r="F15" s="34">
        <f t="shared" si="1"/>
        <v>440.37</v>
      </c>
      <c r="G15" s="34">
        <f t="shared" si="2"/>
        <v>596.86</v>
      </c>
      <c r="H15" s="34">
        <f>IF(ISTEXT($J$5),"",SUM(F$13:F15))</f>
        <v>1317.96</v>
      </c>
      <c r="I15" s="34">
        <f>IF(ISTEXT($J$5),"",SUM(G$13:G15))</f>
        <v>1793.73</v>
      </c>
      <c r="J15" s="34">
        <f t="shared" si="3"/>
        <v>248682.04</v>
      </c>
      <c r="K15" s="20"/>
      <c r="L15" s="21"/>
      <c r="M15" s="21"/>
      <c r="N15" s="22"/>
      <c r="O15" s="22"/>
      <c r="P15" s="22"/>
      <c r="Q15" s="21"/>
    </row>
    <row r="16" spans="1:17" ht="11.7" customHeight="1" x14ac:dyDescent="0.25">
      <c r="A16" s="20"/>
      <c r="B16" s="32" t="str">
        <f>IF(O196=1,E8+1,"")</f>
        <v/>
      </c>
      <c r="C16" s="33" t="str">
        <f>VLOOKUP(O196,M193:N204,2)</f>
        <v>Apr</v>
      </c>
      <c r="D16" s="34">
        <f t="shared" si="4"/>
        <v>248682.04</v>
      </c>
      <c r="E16" s="34">
        <f t="shared" si="0"/>
        <v>1037.23</v>
      </c>
      <c r="F16" s="34">
        <f t="shared" si="1"/>
        <v>441.43000000000006</v>
      </c>
      <c r="G16" s="34">
        <f t="shared" si="2"/>
        <v>595.79999999999995</v>
      </c>
      <c r="H16" s="34">
        <f>IF(ISTEXT($J$5),"",SUM(F$13:F16))</f>
        <v>1759.39</v>
      </c>
      <c r="I16" s="34">
        <f>IF(ISTEXT($J$5),"",SUM(G$13:G16))</f>
        <v>2389.5299999999997</v>
      </c>
      <c r="J16" s="34">
        <f t="shared" si="3"/>
        <v>248240.61000000002</v>
      </c>
      <c r="K16" s="20"/>
      <c r="L16" s="21"/>
      <c r="M16" s="21"/>
      <c r="N16" s="22"/>
      <c r="O16" s="22"/>
      <c r="P16" s="22"/>
      <c r="Q16" s="21"/>
    </row>
    <row r="17" spans="1:17" ht="11.7" customHeight="1" x14ac:dyDescent="0.25">
      <c r="A17" s="20"/>
      <c r="B17" s="32" t="str">
        <f>IF(O197=1,E8+1,"")</f>
        <v/>
      </c>
      <c r="C17" s="33" t="str">
        <f>VLOOKUP(O197,M193:N204,2)</f>
        <v>May</v>
      </c>
      <c r="D17" s="34">
        <f t="shared" si="4"/>
        <v>248240.61000000002</v>
      </c>
      <c r="E17" s="34">
        <f t="shared" si="0"/>
        <v>1037.23</v>
      </c>
      <c r="F17" s="34">
        <f t="shared" si="1"/>
        <v>442.49</v>
      </c>
      <c r="G17" s="34">
        <f t="shared" si="2"/>
        <v>594.74</v>
      </c>
      <c r="H17" s="34">
        <f>IF(ISTEXT($J$5),"",SUM(F$13:F17))</f>
        <v>2201.88</v>
      </c>
      <c r="I17" s="34">
        <f>IF(ISTEXT($J$5),"",SUM(G$13:G17))</f>
        <v>2984.2699999999995</v>
      </c>
      <c r="J17" s="34">
        <f t="shared" si="3"/>
        <v>247798.12000000002</v>
      </c>
      <c r="K17" s="20"/>
      <c r="L17" s="21"/>
      <c r="M17" s="21"/>
      <c r="N17" s="22"/>
      <c r="O17" s="22"/>
      <c r="P17" s="22"/>
      <c r="Q17" s="21"/>
    </row>
    <row r="18" spans="1:17" ht="11.7" customHeight="1" x14ac:dyDescent="0.25">
      <c r="A18" s="20"/>
      <c r="B18" s="32" t="str">
        <f>IF(O198=1,E8+1,"")</f>
        <v/>
      </c>
      <c r="C18" s="33" t="str">
        <f>VLOOKUP(O198,M193:N204,2)</f>
        <v>Jun</v>
      </c>
      <c r="D18" s="34">
        <f t="shared" si="4"/>
        <v>247798.12000000002</v>
      </c>
      <c r="E18" s="34">
        <f t="shared" si="0"/>
        <v>1037.23</v>
      </c>
      <c r="F18" s="34">
        <f t="shared" si="1"/>
        <v>443.55000000000007</v>
      </c>
      <c r="G18" s="34">
        <f t="shared" si="2"/>
        <v>593.67999999999995</v>
      </c>
      <c r="H18" s="34">
        <f>IF(ISTEXT($J$5),"",SUM(F$13:F18))</f>
        <v>2645.4300000000003</v>
      </c>
      <c r="I18" s="34">
        <f>IF(ISTEXT($J$5),"",SUM(G$13:G18))</f>
        <v>3577.9499999999994</v>
      </c>
      <c r="J18" s="34">
        <f t="shared" si="3"/>
        <v>247354.57000000004</v>
      </c>
      <c r="K18" s="20"/>
      <c r="L18" s="21"/>
      <c r="M18" s="21"/>
      <c r="N18" s="22"/>
      <c r="O18" s="22"/>
      <c r="P18" s="22"/>
      <c r="Q18" s="21"/>
    </row>
    <row r="19" spans="1:17" ht="11.7" customHeight="1" x14ac:dyDescent="0.25">
      <c r="A19" s="20"/>
      <c r="B19" s="32" t="str">
        <f>IF(O199=1,E8+1,"")</f>
        <v/>
      </c>
      <c r="C19" s="33" t="str">
        <f>VLOOKUP(O199,M193:N204,2)</f>
        <v>Jul</v>
      </c>
      <c r="D19" s="34">
        <f t="shared" si="4"/>
        <v>247354.57000000004</v>
      </c>
      <c r="E19" s="34">
        <f t="shared" si="0"/>
        <v>1037.23</v>
      </c>
      <c r="F19" s="34">
        <f t="shared" si="1"/>
        <v>444.61</v>
      </c>
      <c r="G19" s="34">
        <f t="shared" si="2"/>
        <v>592.62</v>
      </c>
      <c r="H19" s="34">
        <f>IF(ISTEXT($J$5),"",SUM(F$13:F19))</f>
        <v>3090.0400000000004</v>
      </c>
      <c r="I19" s="34">
        <f>IF(ISTEXT($J$5),"",SUM(G$13:G19))</f>
        <v>4170.57</v>
      </c>
      <c r="J19" s="34">
        <f t="shared" si="3"/>
        <v>246909.96000000005</v>
      </c>
      <c r="K19" s="20"/>
      <c r="L19" s="21"/>
      <c r="M19" s="21"/>
      <c r="N19" s="22"/>
      <c r="O19" s="22"/>
      <c r="P19" s="22"/>
      <c r="Q19" s="21"/>
    </row>
    <row r="20" spans="1:17" ht="11.7" customHeight="1" x14ac:dyDescent="0.25">
      <c r="A20" s="20"/>
      <c r="B20" s="32" t="str">
        <f>IF(O200=1,E8+1,"")</f>
        <v/>
      </c>
      <c r="C20" s="33" t="str">
        <f>VLOOKUP(O200,M193:N204,2)</f>
        <v>Aug</v>
      </c>
      <c r="D20" s="34">
        <f t="shared" si="4"/>
        <v>246909.96000000005</v>
      </c>
      <c r="E20" s="34">
        <f t="shared" si="0"/>
        <v>1037.23</v>
      </c>
      <c r="F20" s="34">
        <f t="shared" si="1"/>
        <v>445.67000000000007</v>
      </c>
      <c r="G20" s="34">
        <f t="shared" si="2"/>
        <v>591.55999999999995</v>
      </c>
      <c r="H20" s="34">
        <f>IF(ISTEXT($J$5),"",SUM(F$13:F20))</f>
        <v>3535.7100000000005</v>
      </c>
      <c r="I20" s="34">
        <f>IF(ISTEXT($J$5),"",SUM(G$13:G20))</f>
        <v>4762.1299999999992</v>
      </c>
      <c r="J20" s="34">
        <f t="shared" si="3"/>
        <v>246464.29000000004</v>
      </c>
      <c r="K20" s="20"/>
      <c r="L20" s="21"/>
      <c r="M20" s="21"/>
      <c r="N20" s="22"/>
      <c r="O20" s="22"/>
      <c r="P20" s="22"/>
      <c r="Q20" s="21"/>
    </row>
    <row r="21" spans="1:17" ht="11.7" customHeight="1" x14ac:dyDescent="0.25">
      <c r="A21" s="20"/>
      <c r="B21" s="32" t="str">
        <f>IF(O201=1,E8+1,"")</f>
        <v/>
      </c>
      <c r="C21" s="33" t="str">
        <f>VLOOKUP(O201,M193:N204,2)</f>
        <v>Sep</v>
      </c>
      <c r="D21" s="34">
        <f t="shared" si="4"/>
        <v>246464.29000000004</v>
      </c>
      <c r="E21" s="34">
        <f t="shared" si="0"/>
        <v>1037.23</v>
      </c>
      <c r="F21" s="34">
        <f t="shared" si="1"/>
        <v>446.74</v>
      </c>
      <c r="G21" s="34">
        <f t="shared" si="2"/>
        <v>590.49</v>
      </c>
      <c r="H21" s="34">
        <f>IF(ISTEXT($J$5),"",SUM(F$13:F21))</f>
        <v>3982.4500000000007</v>
      </c>
      <c r="I21" s="34">
        <f>IF(ISTEXT($J$5),"",SUM(G$13:G21))</f>
        <v>5352.619999999999</v>
      </c>
      <c r="J21" s="34">
        <f t="shared" si="3"/>
        <v>246017.55000000005</v>
      </c>
      <c r="K21" s="20"/>
      <c r="L21" s="21"/>
      <c r="M21" s="21"/>
      <c r="N21" s="22"/>
      <c r="O21" s="22"/>
      <c r="P21" s="22"/>
      <c r="Q21" s="21"/>
    </row>
    <row r="22" spans="1:17" ht="11.7" customHeight="1" x14ac:dyDescent="0.25">
      <c r="A22" s="20"/>
      <c r="B22" s="32" t="str">
        <f>IF(O202=1,E8+1,"")</f>
        <v/>
      </c>
      <c r="C22" s="32" t="str">
        <f>VLOOKUP(O202,M193:N204,2)</f>
        <v>Oct</v>
      </c>
      <c r="D22" s="34">
        <f t="shared" si="4"/>
        <v>246017.55000000005</v>
      </c>
      <c r="E22" s="34">
        <f t="shared" si="0"/>
        <v>1037.23</v>
      </c>
      <c r="F22" s="34">
        <f t="shared" si="1"/>
        <v>447.81000000000006</v>
      </c>
      <c r="G22" s="34">
        <f t="shared" si="2"/>
        <v>589.41999999999996</v>
      </c>
      <c r="H22" s="34">
        <f>IF(ISTEXT($J$5),"",SUM(F$13:F22))</f>
        <v>4430.2600000000011</v>
      </c>
      <c r="I22" s="34">
        <f>IF(ISTEXT($J$5),"",SUM(G$13:G22))</f>
        <v>5942.0399999999991</v>
      </c>
      <c r="J22" s="34">
        <f t="shared" si="3"/>
        <v>245569.74000000005</v>
      </c>
      <c r="K22" s="20"/>
      <c r="L22" s="21"/>
      <c r="M22" s="21"/>
      <c r="N22" s="22"/>
      <c r="O22" s="22"/>
      <c r="P22" s="22"/>
      <c r="Q22" s="21"/>
    </row>
    <row r="23" spans="1:17" ht="11.7" customHeight="1" x14ac:dyDescent="0.25">
      <c r="A23" s="20"/>
      <c r="B23" s="32" t="str">
        <f>IF(O203=1,E8+1,"")</f>
        <v/>
      </c>
      <c r="C23" s="33" t="str">
        <f>VLOOKUP(O203,M193:N204,2)</f>
        <v>Nov</v>
      </c>
      <c r="D23" s="34">
        <f t="shared" si="4"/>
        <v>245569.74000000005</v>
      </c>
      <c r="E23" s="34">
        <f t="shared" si="0"/>
        <v>1037.23</v>
      </c>
      <c r="F23" s="34">
        <f t="shared" si="1"/>
        <v>448.89</v>
      </c>
      <c r="G23" s="34">
        <f t="shared" si="2"/>
        <v>588.34</v>
      </c>
      <c r="H23" s="34">
        <f>IF(ISTEXT($J$5),"",SUM(F$13:F23))</f>
        <v>4879.1500000000015</v>
      </c>
      <c r="I23" s="34">
        <f>IF(ISTEXT($J$5),"",SUM(G$13:G23))</f>
        <v>6530.3799999999992</v>
      </c>
      <c r="J23" s="34">
        <f t="shared" si="3"/>
        <v>245120.85000000003</v>
      </c>
      <c r="K23" s="20"/>
      <c r="L23" s="21"/>
      <c r="M23" s="21"/>
      <c r="N23" s="22"/>
      <c r="O23" s="22"/>
      <c r="P23" s="22"/>
      <c r="Q23" s="21"/>
    </row>
    <row r="24" spans="1:17" ht="11.7" customHeight="1" x14ac:dyDescent="0.25">
      <c r="A24" s="20"/>
      <c r="B24" s="32" t="str">
        <f>IF(O204=1,E8+1,"")</f>
        <v/>
      </c>
      <c r="C24" s="33" t="str">
        <f>VLOOKUP(O204,M193:N204,2)</f>
        <v>Dec</v>
      </c>
      <c r="D24" s="34">
        <f t="shared" si="4"/>
        <v>245120.85000000003</v>
      </c>
      <c r="E24" s="34">
        <f t="shared" si="0"/>
        <v>1037.23</v>
      </c>
      <c r="F24" s="34">
        <f t="shared" si="1"/>
        <v>449.96000000000004</v>
      </c>
      <c r="G24" s="34">
        <f t="shared" si="2"/>
        <v>587.27</v>
      </c>
      <c r="H24" s="34">
        <f>IF(ISTEXT($J$5),"",SUM(F$13:F24))</f>
        <v>5329.1100000000015</v>
      </c>
      <c r="I24" s="34">
        <f>IF(ISTEXT($J$5),"",SUM(G$13:G24))</f>
        <v>7117.65</v>
      </c>
      <c r="J24" s="34">
        <f t="shared" si="3"/>
        <v>244670.89000000004</v>
      </c>
      <c r="K24" s="20"/>
      <c r="L24" s="21"/>
      <c r="M24" s="21"/>
      <c r="N24" s="22"/>
      <c r="O24" s="22"/>
      <c r="P24" s="22"/>
      <c r="Q24" s="21"/>
    </row>
    <row r="25" spans="1:17" ht="9.9" customHeight="1" x14ac:dyDescent="0.25">
      <c r="A25" s="3"/>
      <c r="B25" s="3"/>
      <c r="C25" s="3"/>
      <c r="D25" s="6"/>
      <c r="E25" s="3"/>
      <c r="F25" s="3"/>
      <c r="G25" s="3"/>
      <c r="H25" s="3"/>
      <c r="I25" s="3"/>
      <c r="J25" s="3"/>
      <c r="K25" s="3"/>
      <c r="L25" s="4"/>
      <c r="M25" s="4"/>
      <c r="N25" s="5"/>
      <c r="O25" s="5"/>
      <c r="P25" s="5"/>
      <c r="Q25" s="4"/>
    </row>
    <row r="26" spans="1:17" ht="18" customHeight="1" x14ac:dyDescent="0.25">
      <c r="A26" s="3"/>
      <c r="B26" s="39" t="s">
        <v>39</v>
      </c>
      <c r="C26" s="40"/>
      <c r="D26" s="40"/>
      <c r="E26" s="40"/>
      <c r="F26" s="40"/>
      <c r="G26" s="40"/>
      <c r="H26" s="40"/>
      <c r="I26" s="41"/>
      <c r="J26" s="3"/>
      <c r="K26" s="3"/>
      <c r="L26" s="4"/>
      <c r="M26" s="4"/>
      <c r="N26" s="5"/>
      <c r="O26" s="5"/>
      <c r="P26" s="5"/>
      <c r="Q26" s="4"/>
    </row>
    <row r="27" spans="1:17" ht="27" customHeight="1" x14ac:dyDescent="0.25">
      <c r="A27" s="23"/>
      <c r="B27" s="28" t="s">
        <v>0</v>
      </c>
      <c r="C27" s="30" t="s">
        <v>40</v>
      </c>
      <c r="D27" s="30" t="s">
        <v>42</v>
      </c>
      <c r="E27" s="30" t="s">
        <v>4</v>
      </c>
      <c r="F27" s="30" t="s">
        <v>5</v>
      </c>
      <c r="G27" s="30" t="s">
        <v>47</v>
      </c>
      <c r="H27" s="30" t="s">
        <v>48</v>
      </c>
      <c r="I27" s="31" t="s">
        <v>41</v>
      </c>
      <c r="J27" s="24"/>
      <c r="K27" s="23"/>
      <c r="L27" s="24"/>
      <c r="M27" s="24"/>
      <c r="N27" s="25"/>
      <c r="O27" s="25"/>
      <c r="P27" s="25"/>
      <c r="Q27" s="24"/>
    </row>
    <row r="28" spans="1:17" ht="11.7" customHeight="1" x14ac:dyDescent="0.25">
      <c r="A28" s="20"/>
      <c r="B28" s="32">
        <f>IF(NOT(ISNUMBER(E8)),"",IF(C13="Jan",1+E8,MAX(B13:B24)))</f>
        <v>2022</v>
      </c>
      <c r="C28" s="35">
        <f>IF(ISTEXT(B28),"",INDEX(J13:J24,13-O193,1))</f>
        <v>244670.89000000004</v>
      </c>
      <c r="D28" s="35">
        <f>IF(ISTEXT(B28),"",J$6*12)</f>
        <v>12446.76</v>
      </c>
      <c r="E28" s="35">
        <f>IF(ISTEXT(B28),"",C28-I28)</f>
        <v>5484.678015892132</v>
      </c>
      <c r="F28" s="35">
        <f>IF(ISTEXT(B28),"",D28-E28)</f>
        <v>6962.0819841078683</v>
      </c>
      <c r="G28" s="35">
        <f>IF(ISTEXT(B28),"",E5-I28)</f>
        <v>10813.788015892089</v>
      </c>
      <c r="H28" s="35">
        <f>IF(ISTEXT(B28),"",IF(Q213&lt;12,(24-Q213)*J6-G28,24*J6-G28))</f>
        <v>14079.731984107912</v>
      </c>
      <c r="I28" s="35">
        <f t="shared" ref="I28:I57" si="5">IF(ISTEXT(B28),"",IF(B28=Q$212,0,IF(ISTEXT(B28),"",PV(E$6/12,N206,-J$6))))</f>
        <v>239186.21198410791</v>
      </c>
      <c r="J28" s="21"/>
      <c r="K28" s="20"/>
      <c r="L28" s="21"/>
      <c r="M28" s="21"/>
      <c r="N28" s="22"/>
      <c r="O28" s="22"/>
      <c r="P28" s="22"/>
      <c r="Q28" s="21"/>
    </row>
    <row r="29" spans="1:17" ht="11.7" customHeight="1" x14ac:dyDescent="0.25">
      <c r="A29" s="20"/>
      <c r="B29" s="32">
        <f>IF(ISTEXT(B28),"",IF(MAX(B$28:B28)=Q$212,"",B28+1))</f>
        <v>2023</v>
      </c>
      <c r="C29" s="35">
        <f>IF(ISTEXT(B29),"",I28)</f>
        <v>239186.21198410791</v>
      </c>
      <c r="D29" s="35">
        <f t="shared" ref="D29:D57" si="6">IF(ISTEXT(B29),"",J$6*MIN(12,N206))</f>
        <v>12446.76</v>
      </c>
      <c r="E29" s="35">
        <f>IF(ISTEXT(B29),"",C29-I29)</f>
        <v>5644.1441604480206</v>
      </c>
      <c r="F29" s="35">
        <f>IF(ISTEXT(B29),"",D29-E29)</f>
        <v>6802.6158395519797</v>
      </c>
      <c r="G29" s="35">
        <f t="shared" ref="G29:G57" si="7">IF(ISTEXT(B29),"",G28+E29)</f>
        <v>16457.932176340109</v>
      </c>
      <c r="H29" s="35">
        <f t="shared" ref="H29:H57" si="8">IF(ISTEXT(C29),"",H28+F29)</f>
        <v>20882.347823659889</v>
      </c>
      <c r="I29" s="35">
        <f t="shared" si="5"/>
        <v>233542.06782365989</v>
      </c>
      <c r="J29" s="21"/>
      <c r="K29" s="20"/>
      <c r="L29" s="21"/>
      <c r="M29" s="21"/>
      <c r="N29" s="22"/>
      <c r="O29" s="22"/>
      <c r="P29" s="22"/>
      <c r="Q29" s="21"/>
    </row>
    <row r="30" spans="1:17" ht="11.7" customHeight="1" x14ac:dyDescent="0.25">
      <c r="A30" s="20"/>
      <c r="B30" s="32">
        <f>IF(ISTEXT(B29),"",IF(MAX(B$28:B29)=Q$212,"",B29+1))</f>
        <v>2024</v>
      </c>
      <c r="C30" s="35">
        <f t="shared" ref="C30:C45" si="9">IF(ISTEXT(B30),"",I29)</f>
        <v>233542.06782365989</v>
      </c>
      <c r="D30" s="35">
        <f t="shared" si="6"/>
        <v>12446.76</v>
      </c>
      <c r="E30" s="35">
        <f t="shared" ref="E30:E45" si="10">IF(ISTEXT(B30),"",C30-I30)</f>
        <v>5808.5687076816685</v>
      </c>
      <c r="F30" s="35">
        <f t="shared" ref="F30:F45" si="11">IF(ISTEXT(B30),"",D30-E30)</f>
        <v>6638.1912923183318</v>
      </c>
      <c r="G30" s="35">
        <f t="shared" si="7"/>
        <v>22266.500884021778</v>
      </c>
      <c r="H30" s="35">
        <f t="shared" si="8"/>
        <v>27520.539115978223</v>
      </c>
      <c r="I30" s="35">
        <f t="shared" si="5"/>
        <v>227733.49911597822</v>
      </c>
      <c r="J30" s="21"/>
      <c r="K30" s="20"/>
      <c r="L30" s="21"/>
      <c r="M30" s="21"/>
      <c r="N30" s="22"/>
      <c r="O30" s="22"/>
      <c r="P30" s="22"/>
      <c r="Q30" s="21"/>
    </row>
    <row r="31" spans="1:17" ht="11.7" customHeight="1" x14ac:dyDescent="0.25">
      <c r="A31" s="20"/>
      <c r="B31" s="32">
        <f>IF(ISTEXT(B30),"",IF(MAX(B$28:B30)=Q$212,"",B30+1))</f>
        <v>2025</v>
      </c>
      <c r="C31" s="35">
        <f t="shared" si="9"/>
        <v>227733.49911597822</v>
      </c>
      <c r="D31" s="35">
        <f t="shared" si="6"/>
        <v>12446.76</v>
      </c>
      <c r="E31" s="35">
        <f t="shared" si="10"/>
        <v>5977.7832515852933</v>
      </c>
      <c r="F31" s="35">
        <f t="shared" si="11"/>
        <v>6468.9767484147069</v>
      </c>
      <c r="G31" s="35">
        <f t="shared" si="7"/>
        <v>28244.284135607071</v>
      </c>
      <c r="H31" s="35">
        <f t="shared" si="8"/>
        <v>33989.515864392932</v>
      </c>
      <c r="I31" s="35">
        <f t="shared" si="5"/>
        <v>221755.71586439293</v>
      </c>
      <c r="J31" s="21"/>
      <c r="K31" s="20"/>
      <c r="L31" s="21"/>
      <c r="M31" s="21"/>
      <c r="N31" s="22"/>
      <c r="O31" s="22"/>
      <c r="P31" s="22"/>
      <c r="Q31" s="21"/>
    </row>
    <row r="32" spans="1:17" ht="11.7" customHeight="1" x14ac:dyDescent="0.25">
      <c r="A32" s="20"/>
      <c r="B32" s="32">
        <f>IF(ISTEXT(B31),"",IF(MAX(B$28:B31)=Q$212,"",B31+1))</f>
        <v>2026</v>
      </c>
      <c r="C32" s="35">
        <f t="shared" si="9"/>
        <v>221755.71586439293</v>
      </c>
      <c r="D32" s="35">
        <f t="shared" si="6"/>
        <v>12446.76</v>
      </c>
      <c r="E32" s="35">
        <f t="shared" si="10"/>
        <v>6151.9273337810591</v>
      </c>
      <c r="F32" s="35">
        <f t="shared" si="11"/>
        <v>6294.8326662189411</v>
      </c>
      <c r="G32" s="35">
        <f t="shared" si="7"/>
        <v>34396.21146938813</v>
      </c>
      <c r="H32" s="35">
        <f t="shared" si="8"/>
        <v>40284.348530611875</v>
      </c>
      <c r="I32" s="35">
        <f t="shared" si="5"/>
        <v>215603.78853061187</v>
      </c>
      <c r="J32" s="21"/>
      <c r="K32" s="20"/>
      <c r="L32" s="21"/>
      <c r="M32" s="21"/>
      <c r="N32" s="22"/>
      <c r="O32" s="22"/>
      <c r="P32" s="22"/>
      <c r="Q32" s="21"/>
    </row>
    <row r="33" spans="1:17" ht="11.7" customHeight="1" x14ac:dyDescent="0.25">
      <c r="A33" s="20"/>
      <c r="B33" s="32">
        <f>IF(ISTEXT(B32),"",IF(MAX(B$28:B32)=Q$212,"",B32+1))</f>
        <v>2027</v>
      </c>
      <c r="C33" s="35">
        <f t="shared" si="9"/>
        <v>215603.78853061187</v>
      </c>
      <c r="D33" s="35">
        <f t="shared" si="6"/>
        <v>12446.76</v>
      </c>
      <c r="E33" s="35">
        <f t="shared" si="10"/>
        <v>6331.1445610021183</v>
      </c>
      <c r="F33" s="35">
        <f t="shared" si="11"/>
        <v>6115.6154389978819</v>
      </c>
      <c r="G33" s="35">
        <f t="shared" si="7"/>
        <v>40727.356030390249</v>
      </c>
      <c r="H33" s="35">
        <f t="shared" si="8"/>
        <v>46399.963969609758</v>
      </c>
      <c r="I33" s="35">
        <f t="shared" si="5"/>
        <v>209272.64396960975</v>
      </c>
      <c r="J33" s="21"/>
      <c r="K33" s="20"/>
      <c r="L33" s="21"/>
      <c r="M33" s="21"/>
      <c r="N33" s="22"/>
      <c r="O33" s="22"/>
      <c r="P33" s="22"/>
      <c r="Q33" s="21"/>
    </row>
    <row r="34" spans="1:17" ht="11.7" customHeight="1" x14ac:dyDescent="0.25">
      <c r="A34" s="20"/>
      <c r="B34" s="32">
        <f>IF(ISTEXT(B33),"",IF(MAX(B$28:B33)=Q$212,"",B33+1))</f>
        <v>2028</v>
      </c>
      <c r="C34" s="35">
        <f t="shared" si="9"/>
        <v>209272.64396960975</v>
      </c>
      <c r="D34" s="35">
        <f t="shared" si="6"/>
        <v>12446.76</v>
      </c>
      <c r="E34" s="35">
        <f t="shared" si="10"/>
        <v>6515.5827235154284</v>
      </c>
      <c r="F34" s="35">
        <f t="shared" si="11"/>
        <v>5931.1772764845718</v>
      </c>
      <c r="G34" s="35">
        <f t="shared" si="7"/>
        <v>47242.938753905677</v>
      </c>
      <c r="H34" s="35">
        <f t="shared" si="8"/>
        <v>52331.141246094332</v>
      </c>
      <c r="I34" s="35">
        <f t="shared" si="5"/>
        <v>202757.06124609432</v>
      </c>
      <c r="J34" s="21"/>
      <c r="K34" s="20"/>
      <c r="L34" s="21"/>
      <c r="M34" s="21"/>
      <c r="N34" s="22"/>
      <c r="O34" s="22"/>
      <c r="P34" s="22"/>
      <c r="Q34" s="21"/>
    </row>
    <row r="35" spans="1:17" ht="11.7" customHeight="1" x14ac:dyDescent="0.25">
      <c r="A35" s="20"/>
      <c r="B35" s="32">
        <f>IF(ISTEXT(B34),"",IF(MAX(B$28:B34)=Q$212,"",B34+1))</f>
        <v>2029</v>
      </c>
      <c r="C35" s="35">
        <f t="shared" si="9"/>
        <v>202757.06124609432</v>
      </c>
      <c r="D35" s="35">
        <f t="shared" si="6"/>
        <v>12446.76</v>
      </c>
      <c r="E35" s="35">
        <f t="shared" si="10"/>
        <v>6705.3939169972145</v>
      </c>
      <c r="F35" s="35">
        <f t="shared" si="11"/>
        <v>5741.3660830027857</v>
      </c>
      <c r="G35" s="35">
        <f t="shared" si="7"/>
        <v>53948.332670902892</v>
      </c>
      <c r="H35" s="35">
        <f t="shared" si="8"/>
        <v>58072.50732909712</v>
      </c>
      <c r="I35" s="35">
        <f t="shared" si="5"/>
        <v>196051.66732909711</v>
      </c>
      <c r="J35" s="21"/>
      <c r="K35" s="20"/>
      <c r="L35" s="21"/>
      <c r="M35" s="21"/>
      <c r="N35" s="22"/>
      <c r="O35" s="22"/>
      <c r="P35" s="22"/>
      <c r="Q35" s="21"/>
    </row>
    <row r="36" spans="1:17" ht="11.7" customHeight="1" x14ac:dyDescent="0.25">
      <c r="A36" s="20"/>
      <c r="B36" s="32">
        <f>IF(ISTEXT(B35),"",IF(MAX(B$28:B35)=Q$212,"",B35+1))</f>
        <v>2030</v>
      </c>
      <c r="C36" s="35">
        <f t="shared" si="9"/>
        <v>196051.66732909711</v>
      </c>
      <c r="D36" s="35">
        <f t="shared" si="6"/>
        <v>12446.76</v>
      </c>
      <c r="E36" s="35">
        <f t="shared" si="10"/>
        <v>6900.7346679565089</v>
      </c>
      <c r="F36" s="35">
        <f t="shared" si="11"/>
        <v>5546.0253320434913</v>
      </c>
      <c r="G36" s="35">
        <f t="shared" si="7"/>
        <v>60849.0673388594</v>
      </c>
      <c r="H36" s="35">
        <f t="shared" si="8"/>
        <v>63618.532661140613</v>
      </c>
      <c r="I36" s="35">
        <f t="shared" si="5"/>
        <v>189150.9326611406</v>
      </c>
      <c r="J36" s="21"/>
      <c r="K36" s="20"/>
      <c r="L36" s="21"/>
      <c r="M36" s="21"/>
      <c r="N36" s="22"/>
      <c r="O36" s="22"/>
      <c r="P36" s="22"/>
      <c r="Q36" s="21"/>
    </row>
    <row r="37" spans="1:17" ht="11.7" customHeight="1" x14ac:dyDescent="0.25">
      <c r="A37" s="20"/>
      <c r="B37" s="32">
        <f>IF(ISTEXT(B36),"",IF(MAX(B$28:B36)=Q$212,"",B36+1))</f>
        <v>2031</v>
      </c>
      <c r="C37" s="35">
        <f t="shared" si="9"/>
        <v>189150.9326611406</v>
      </c>
      <c r="D37" s="35">
        <f t="shared" si="6"/>
        <v>12446.76</v>
      </c>
      <c r="E37" s="35">
        <f t="shared" si="10"/>
        <v>7101.7660628151789</v>
      </c>
      <c r="F37" s="35">
        <f t="shared" si="11"/>
        <v>5344.9939371848213</v>
      </c>
      <c r="G37" s="35">
        <f t="shared" si="7"/>
        <v>67950.833401674579</v>
      </c>
      <c r="H37" s="35">
        <f t="shared" si="8"/>
        <v>68963.526598325436</v>
      </c>
      <c r="I37" s="35">
        <f t="shared" si="5"/>
        <v>182049.16659832542</v>
      </c>
      <c r="J37" s="21"/>
      <c r="K37" s="20"/>
      <c r="L37" s="21"/>
      <c r="M37" s="21"/>
      <c r="N37" s="22"/>
      <c r="O37" s="22"/>
      <c r="P37" s="22"/>
      <c r="Q37" s="21"/>
    </row>
    <row r="38" spans="1:17" ht="11.7" customHeight="1" x14ac:dyDescent="0.25">
      <c r="A38" s="20"/>
      <c r="B38" s="32">
        <f>IF(ISTEXT(B37),"",IF(MAX(B$28:B37)=Q$212,"",B37+1))</f>
        <v>2032</v>
      </c>
      <c r="C38" s="35">
        <f t="shared" si="9"/>
        <v>182049.16659832542</v>
      </c>
      <c r="D38" s="35">
        <f t="shared" si="6"/>
        <v>12446.76</v>
      </c>
      <c r="E38" s="35">
        <f t="shared" si="10"/>
        <v>7308.6538807451725</v>
      </c>
      <c r="F38" s="35">
        <f t="shared" si="11"/>
        <v>5138.1061192548277</v>
      </c>
      <c r="G38" s="35">
        <f t="shared" si="7"/>
        <v>75259.487282419752</v>
      </c>
      <c r="H38" s="35">
        <f t="shared" si="8"/>
        <v>74101.632717580258</v>
      </c>
      <c r="I38" s="35">
        <f t="shared" si="5"/>
        <v>174740.51271758025</v>
      </c>
      <c r="J38" s="21"/>
      <c r="K38" s="20"/>
      <c r="L38" s="21"/>
      <c r="M38" s="21"/>
      <c r="N38" s="22"/>
      <c r="O38" s="22"/>
      <c r="P38" s="22"/>
      <c r="Q38" s="21"/>
    </row>
    <row r="39" spans="1:17" ht="11.7" customHeight="1" x14ac:dyDescent="0.25">
      <c r="A39" s="20"/>
      <c r="B39" s="32">
        <f>IF(ISTEXT(B38),"",IF(MAX(B$28:B38)=Q$212,"",B38+1))</f>
        <v>2033</v>
      </c>
      <c r="C39" s="35">
        <f t="shared" si="9"/>
        <v>174740.51271758025</v>
      </c>
      <c r="D39" s="35">
        <f t="shared" si="6"/>
        <v>12446.76</v>
      </c>
      <c r="E39" s="35">
        <f t="shared" si="10"/>
        <v>7521.5687303782033</v>
      </c>
      <c r="F39" s="35">
        <f t="shared" si="11"/>
        <v>4925.1912696217969</v>
      </c>
      <c r="G39" s="35">
        <f t="shared" si="7"/>
        <v>82781.056012797955</v>
      </c>
      <c r="H39" s="35">
        <f t="shared" si="8"/>
        <v>79026.823987202049</v>
      </c>
      <c r="I39" s="35">
        <f t="shared" si="5"/>
        <v>167218.94398720204</v>
      </c>
      <c r="J39" s="21"/>
      <c r="K39" s="20"/>
      <c r="L39" s="21"/>
      <c r="M39" s="21"/>
      <c r="N39" s="22"/>
      <c r="O39" s="22"/>
      <c r="P39" s="22"/>
      <c r="Q39" s="21"/>
    </row>
    <row r="40" spans="1:17" ht="11.7" customHeight="1" x14ac:dyDescent="0.25">
      <c r="A40" s="20"/>
      <c r="B40" s="32">
        <f>IF(ISTEXT(B39),"",IF(MAX(B$28:B39)=Q$212,"",B39+1))</f>
        <v>2034</v>
      </c>
      <c r="C40" s="35">
        <f t="shared" si="9"/>
        <v>167218.94398720204</v>
      </c>
      <c r="D40" s="35">
        <f t="shared" si="6"/>
        <v>12446.76</v>
      </c>
      <c r="E40" s="35">
        <f t="shared" si="10"/>
        <v>7740.6861904964899</v>
      </c>
      <c r="F40" s="35">
        <f t="shared" si="11"/>
        <v>4706.0738095035103</v>
      </c>
      <c r="G40" s="35">
        <f t="shared" si="7"/>
        <v>90521.742203294445</v>
      </c>
      <c r="H40" s="35">
        <f t="shared" si="8"/>
        <v>83732.897796705554</v>
      </c>
      <c r="I40" s="35">
        <f t="shared" si="5"/>
        <v>159478.25779670555</v>
      </c>
      <c r="J40" s="21"/>
      <c r="K40" s="20"/>
      <c r="L40" s="21"/>
      <c r="M40" s="21"/>
      <c r="N40" s="22"/>
      <c r="O40" s="22"/>
      <c r="P40" s="22"/>
      <c r="Q40" s="21"/>
    </row>
    <row r="41" spans="1:17" ht="11.7" customHeight="1" x14ac:dyDescent="0.25">
      <c r="A41" s="20"/>
      <c r="B41" s="32">
        <f>IF(ISTEXT(B40),"",IF(MAX(B$28:B40)=Q$212,"",B40+1))</f>
        <v>2035</v>
      </c>
      <c r="C41" s="35">
        <f t="shared" si="9"/>
        <v>159478.25779670555</v>
      </c>
      <c r="D41" s="35">
        <f t="shared" si="6"/>
        <v>12446.76</v>
      </c>
      <c r="E41" s="35">
        <f t="shared" si="10"/>
        <v>7966.1869548229733</v>
      </c>
      <c r="F41" s="35">
        <f t="shared" si="11"/>
        <v>4480.5730451770269</v>
      </c>
      <c r="G41" s="35">
        <f t="shared" si="7"/>
        <v>98487.929158117418</v>
      </c>
      <c r="H41" s="35">
        <f t="shared" si="8"/>
        <v>88213.470841882576</v>
      </c>
      <c r="I41" s="35">
        <f t="shared" si="5"/>
        <v>151512.07084188258</v>
      </c>
      <c r="J41" s="21"/>
      <c r="K41" s="20"/>
      <c r="L41" s="21"/>
      <c r="M41" s="21"/>
      <c r="N41" s="22"/>
      <c r="O41" s="22"/>
      <c r="P41" s="22"/>
      <c r="Q41" s="21"/>
    </row>
    <row r="42" spans="1:17" ht="11.7" customHeight="1" x14ac:dyDescent="0.25">
      <c r="A42" s="20"/>
      <c r="B42" s="32">
        <f>IF(ISTEXT(B41),"",IF(MAX(B$28:B41)=Q$212,"",B41+1))</f>
        <v>2036</v>
      </c>
      <c r="C42" s="35">
        <f t="shared" si="9"/>
        <v>151512.07084188258</v>
      </c>
      <c r="D42" s="35">
        <f t="shared" si="6"/>
        <v>12446.76</v>
      </c>
      <c r="E42" s="35">
        <f t="shared" si="10"/>
        <v>8198.2569810289133</v>
      </c>
      <c r="F42" s="35">
        <f t="shared" si="11"/>
        <v>4248.5030189710869</v>
      </c>
      <c r="G42" s="35">
        <f t="shared" si="7"/>
        <v>106686.18613914633</v>
      </c>
      <c r="H42" s="35">
        <f t="shared" si="8"/>
        <v>92461.973860853657</v>
      </c>
      <c r="I42" s="35">
        <f t="shared" si="5"/>
        <v>143313.81386085367</v>
      </c>
      <c r="J42" s="21"/>
      <c r="K42" s="20"/>
      <c r="L42" s="21"/>
      <c r="M42" s="21"/>
      <c r="N42" s="22"/>
      <c r="O42" s="22"/>
      <c r="P42" s="22"/>
      <c r="Q42" s="21"/>
    </row>
    <row r="43" spans="1:17" ht="11.7" customHeight="1" x14ac:dyDescent="0.25">
      <c r="A43" s="20"/>
      <c r="B43" s="32">
        <f>IF(ISTEXT(B42),"",IF(MAX(B$28:B42)=Q$212,"",B42+1))</f>
        <v>2037</v>
      </c>
      <c r="C43" s="35">
        <f t="shared" si="9"/>
        <v>143313.81386085367</v>
      </c>
      <c r="D43" s="35">
        <f t="shared" si="6"/>
        <v>12446.76</v>
      </c>
      <c r="E43" s="35">
        <f t="shared" si="10"/>
        <v>8437.0876440826687</v>
      </c>
      <c r="F43" s="35">
        <f t="shared" si="11"/>
        <v>4009.6723559173315</v>
      </c>
      <c r="G43" s="35">
        <f t="shared" si="7"/>
        <v>115123.273783229</v>
      </c>
      <c r="H43" s="35">
        <f t="shared" si="8"/>
        <v>96471.646216770983</v>
      </c>
      <c r="I43" s="35">
        <f t="shared" si="5"/>
        <v>134876.726216771</v>
      </c>
      <c r="J43" s="21"/>
      <c r="K43" s="20"/>
      <c r="L43" s="21"/>
      <c r="M43" s="21"/>
      <c r="N43" s="22"/>
      <c r="O43" s="22"/>
      <c r="P43" s="22"/>
      <c r="Q43" s="21"/>
    </row>
    <row r="44" spans="1:17" ht="11.7" customHeight="1" x14ac:dyDescent="0.25">
      <c r="A44" s="20"/>
      <c r="B44" s="32">
        <f>IF(ISTEXT(B43),"",IF(MAX(B$28:B43)=Q$212,"",B43+1))</f>
        <v>2038</v>
      </c>
      <c r="C44" s="35">
        <f t="shared" si="9"/>
        <v>134876.726216771</v>
      </c>
      <c r="D44" s="35">
        <f t="shared" si="6"/>
        <v>12446.76</v>
      </c>
      <c r="E44" s="35">
        <f t="shared" si="10"/>
        <v>8682.8758940656116</v>
      </c>
      <c r="F44" s="35">
        <f t="shared" si="11"/>
        <v>3763.8841059343886</v>
      </c>
      <c r="G44" s="35">
        <f t="shared" si="7"/>
        <v>123806.14967729461</v>
      </c>
      <c r="H44" s="35">
        <f t="shared" si="8"/>
        <v>100235.53032270537</v>
      </c>
      <c r="I44" s="35">
        <f t="shared" si="5"/>
        <v>126193.85032270539</v>
      </c>
      <c r="J44" s="21"/>
      <c r="K44" s="20"/>
      <c r="L44" s="21"/>
      <c r="M44" s="21"/>
      <c r="N44" s="22"/>
      <c r="O44" s="22"/>
      <c r="P44" s="22"/>
      <c r="Q44" s="21"/>
    </row>
    <row r="45" spans="1:17" ht="11.7" customHeight="1" x14ac:dyDescent="0.25">
      <c r="A45" s="20"/>
      <c r="B45" s="32">
        <f>IF(ISTEXT(B44),"",IF(MAX(B$28:B44)=Q$212,"",B44+1))</f>
        <v>2039</v>
      </c>
      <c r="C45" s="35">
        <f t="shared" si="9"/>
        <v>126193.85032270539</v>
      </c>
      <c r="D45" s="35">
        <f t="shared" si="6"/>
        <v>12446.76</v>
      </c>
      <c r="E45" s="35">
        <f t="shared" si="10"/>
        <v>8935.8244185863732</v>
      </c>
      <c r="F45" s="35">
        <f t="shared" si="11"/>
        <v>3510.935581413627</v>
      </c>
      <c r="G45" s="35">
        <f t="shared" si="7"/>
        <v>132741.97409588099</v>
      </c>
      <c r="H45" s="35">
        <f t="shared" si="8"/>
        <v>103746.46590411899</v>
      </c>
      <c r="I45" s="35">
        <f t="shared" si="5"/>
        <v>117258.02590411901</v>
      </c>
      <c r="J45" s="21"/>
      <c r="K45" s="20"/>
      <c r="L45" s="21"/>
      <c r="M45" s="21"/>
      <c r="N45" s="22"/>
      <c r="O45" s="22"/>
      <c r="P45" s="22"/>
      <c r="Q45" s="21"/>
    </row>
    <row r="46" spans="1:17" ht="11.7" customHeight="1" x14ac:dyDescent="0.25">
      <c r="A46" s="20"/>
      <c r="B46" s="32">
        <f>IF(ISTEXT(B45),"",IF(MAX(B$28:B45)=Q$212,"",B45+1))</f>
        <v>2040</v>
      </c>
      <c r="C46" s="35">
        <f t="shared" ref="C46:C57" si="12">IF(ISTEXT(B46),"",I45)</f>
        <v>117258.02590411901</v>
      </c>
      <c r="D46" s="35">
        <f t="shared" si="6"/>
        <v>12446.76</v>
      </c>
      <c r="E46" s="35">
        <f t="shared" ref="E46:E57" si="13">IF(ISTEXT(B46),"",C46-I46)</f>
        <v>9196.1418099246657</v>
      </c>
      <c r="F46" s="35">
        <f t="shared" ref="F46:F57" si="14">IF(ISTEXT(B46),"",D46-E46)</f>
        <v>3250.6181900753345</v>
      </c>
      <c r="G46" s="35">
        <f t="shared" si="7"/>
        <v>141938.11590580567</v>
      </c>
      <c r="H46" s="35">
        <f t="shared" si="8"/>
        <v>106997.08409419432</v>
      </c>
      <c r="I46" s="35">
        <f t="shared" si="5"/>
        <v>108061.88409419435</v>
      </c>
      <c r="J46" s="21"/>
      <c r="K46" s="20"/>
      <c r="L46" s="21"/>
      <c r="M46" s="21"/>
      <c r="N46" s="22"/>
      <c r="O46" s="22"/>
      <c r="P46" s="22"/>
      <c r="Q46" s="21"/>
    </row>
    <row r="47" spans="1:17" ht="11.7" customHeight="1" x14ac:dyDescent="0.25">
      <c r="A47" s="20"/>
      <c r="B47" s="32">
        <f>IF(ISTEXT(B46),"",IF(MAX(B$28:B46)=Q$212,"",B46+1))</f>
        <v>2041</v>
      </c>
      <c r="C47" s="35">
        <f t="shared" si="12"/>
        <v>108061.88409419435</v>
      </c>
      <c r="D47" s="35">
        <f t="shared" si="6"/>
        <v>12446.76</v>
      </c>
      <c r="E47" s="35">
        <f t="shared" si="13"/>
        <v>9464.0427370465768</v>
      </c>
      <c r="F47" s="35">
        <f t="shared" si="14"/>
        <v>2982.7172629534234</v>
      </c>
      <c r="G47" s="35">
        <f t="shared" si="7"/>
        <v>151402.15864285224</v>
      </c>
      <c r="H47" s="35">
        <f t="shared" si="8"/>
        <v>109979.80135714773</v>
      </c>
      <c r="I47" s="35">
        <f t="shared" si="5"/>
        <v>98597.841357147772</v>
      </c>
      <c r="J47" s="21"/>
      <c r="K47" s="20"/>
      <c r="L47" s="21"/>
      <c r="M47" s="21"/>
      <c r="N47" s="22"/>
      <c r="O47" s="22"/>
      <c r="P47" s="22"/>
      <c r="Q47" s="21"/>
    </row>
    <row r="48" spans="1:17" ht="11.7" customHeight="1" x14ac:dyDescent="0.25">
      <c r="A48" s="20"/>
      <c r="B48" s="32">
        <f>IF(ISTEXT(B47),"",IF(MAX(B$28:B47)=Q$212,"",B47+1))</f>
        <v>2042</v>
      </c>
      <c r="C48" s="35">
        <f t="shared" si="12"/>
        <v>98597.841357147772</v>
      </c>
      <c r="D48" s="35">
        <f t="shared" si="6"/>
        <v>12446.76</v>
      </c>
      <c r="E48" s="35">
        <f t="shared" si="13"/>
        <v>9739.7481226286909</v>
      </c>
      <c r="F48" s="35">
        <f t="shared" si="14"/>
        <v>2707.0118773713093</v>
      </c>
      <c r="G48" s="35">
        <f t="shared" si="7"/>
        <v>161141.90676548093</v>
      </c>
      <c r="H48" s="35">
        <f t="shared" si="8"/>
        <v>112686.81323451904</v>
      </c>
      <c r="I48" s="35">
        <f t="shared" si="5"/>
        <v>88858.093234519081</v>
      </c>
      <c r="J48" s="21"/>
      <c r="K48" s="20"/>
      <c r="L48" s="21"/>
      <c r="M48" s="21"/>
      <c r="N48" s="22"/>
      <c r="O48" s="22"/>
      <c r="P48" s="22"/>
      <c r="Q48" s="21"/>
    </row>
    <row r="49" spans="1:17" ht="11.7" customHeight="1" x14ac:dyDescent="0.25">
      <c r="A49" s="20"/>
      <c r="B49" s="32">
        <f>IF(ISTEXT(B48),"",IF(MAX(B$28:B48)=Q$212,"",B48+1))</f>
        <v>2043</v>
      </c>
      <c r="C49" s="35">
        <f t="shared" si="12"/>
        <v>88858.093234519081</v>
      </c>
      <c r="D49" s="35">
        <f t="shared" si="6"/>
        <v>12446.76</v>
      </c>
      <c r="E49" s="35">
        <f t="shared" si="13"/>
        <v>10023.485325242349</v>
      </c>
      <c r="F49" s="35">
        <f t="shared" si="14"/>
        <v>2423.2746747576512</v>
      </c>
      <c r="G49" s="35">
        <f t="shared" si="7"/>
        <v>171165.39209072327</v>
      </c>
      <c r="H49" s="35">
        <f t="shared" si="8"/>
        <v>115110.08790927668</v>
      </c>
      <c r="I49" s="35">
        <f t="shared" si="5"/>
        <v>78834.607909276732</v>
      </c>
      <c r="J49" s="21"/>
      <c r="K49" s="20"/>
      <c r="L49" s="21"/>
      <c r="M49" s="21"/>
      <c r="N49" s="22"/>
      <c r="O49" s="22"/>
      <c r="P49" s="22"/>
      <c r="Q49" s="21"/>
    </row>
    <row r="50" spans="1:17" ht="11.7" customHeight="1" x14ac:dyDescent="0.25">
      <c r="A50" s="20"/>
      <c r="B50" s="32">
        <f>IF(ISTEXT(B49),"",IF(MAX(B$28:B49)=Q$212,"",B49+1))</f>
        <v>2044</v>
      </c>
      <c r="C50" s="35">
        <f t="shared" si="12"/>
        <v>78834.607909276732</v>
      </c>
      <c r="D50" s="35">
        <f t="shared" si="6"/>
        <v>12446.76</v>
      </c>
      <c r="E50" s="35">
        <f t="shared" si="13"/>
        <v>10315.48832684083</v>
      </c>
      <c r="F50" s="35">
        <f t="shared" si="14"/>
        <v>2131.2716731591699</v>
      </c>
      <c r="G50" s="35">
        <f t="shared" si="7"/>
        <v>181480.8804175641</v>
      </c>
      <c r="H50" s="35">
        <f t="shared" si="8"/>
        <v>117241.35958243585</v>
      </c>
      <c r="I50" s="35">
        <f t="shared" si="5"/>
        <v>68519.119582435902</v>
      </c>
      <c r="J50" s="21"/>
      <c r="K50" s="20"/>
      <c r="L50" s="21"/>
      <c r="M50" s="21"/>
      <c r="N50" s="22"/>
      <c r="O50" s="22"/>
      <c r="P50" s="22"/>
      <c r="Q50" s="21"/>
    </row>
    <row r="51" spans="1:17" ht="11.7" customHeight="1" x14ac:dyDescent="0.25">
      <c r="A51" s="20"/>
      <c r="B51" s="32">
        <f>IF(ISTEXT(B50),"",IF(MAX(B$28:B50)=Q$212,"",B50+1))</f>
        <v>2045</v>
      </c>
      <c r="C51" s="35">
        <f t="shared" si="12"/>
        <v>68519.119582435902</v>
      </c>
      <c r="D51" s="35">
        <f t="shared" si="6"/>
        <v>12446.76</v>
      </c>
      <c r="E51" s="35">
        <f t="shared" si="13"/>
        <v>10615.997925713345</v>
      </c>
      <c r="F51" s="35">
        <f t="shared" si="14"/>
        <v>1830.7620742866548</v>
      </c>
      <c r="G51" s="35">
        <f t="shared" si="7"/>
        <v>192096.87834327744</v>
      </c>
      <c r="H51" s="35">
        <f t="shared" si="8"/>
        <v>119072.12165672251</v>
      </c>
      <c r="I51" s="35">
        <f t="shared" si="5"/>
        <v>57903.121656722557</v>
      </c>
      <c r="J51" s="21"/>
      <c r="K51" s="20"/>
      <c r="L51" s="21"/>
      <c r="M51" s="21"/>
      <c r="N51" s="22"/>
      <c r="O51" s="22"/>
      <c r="P51" s="22"/>
      <c r="Q51" s="21"/>
    </row>
    <row r="52" spans="1:17" ht="11.7" customHeight="1" x14ac:dyDescent="0.25">
      <c r="A52" s="20"/>
      <c r="B52" s="32">
        <f>IF(ISTEXT(B51),"",IF(MAX(B$28:B51)=Q$212,"",B51+1))</f>
        <v>2046</v>
      </c>
      <c r="C52" s="35">
        <f t="shared" si="12"/>
        <v>57903.121656722557</v>
      </c>
      <c r="D52" s="35">
        <f t="shared" si="6"/>
        <v>12446.76</v>
      </c>
      <c r="E52" s="35">
        <f t="shared" si="13"/>
        <v>10925.261935055903</v>
      </c>
      <c r="F52" s="35">
        <f t="shared" si="14"/>
        <v>1521.4980649440968</v>
      </c>
      <c r="G52" s="35">
        <f t="shared" si="7"/>
        <v>203022.14027833333</v>
      </c>
      <c r="H52" s="35">
        <f t="shared" si="8"/>
        <v>120593.6197216666</v>
      </c>
      <c r="I52" s="35">
        <f t="shared" si="5"/>
        <v>46977.859721666653</v>
      </c>
      <c r="J52" s="21"/>
      <c r="K52" s="20"/>
      <c r="L52" s="21"/>
      <c r="M52" s="21"/>
      <c r="N52" s="22"/>
      <c r="O52" s="22"/>
      <c r="P52" s="22"/>
      <c r="Q52" s="21"/>
    </row>
    <row r="53" spans="1:17" ht="11.7" customHeight="1" x14ac:dyDescent="0.25">
      <c r="A53" s="20"/>
      <c r="B53" s="32">
        <f>IF(ISTEXT(B52),"",IF(MAX(B$28:B52)=Q$212,"",B52+1))</f>
        <v>2047</v>
      </c>
      <c r="C53" s="35">
        <f t="shared" si="12"/>
        <v>46977.859721666653</v>
      </c>
      <c r="D53" s="35">
        <f t="shared" si="6"/>
        <v>12446.76</v>
      </c>
      <c r="E53" s="35">
        <f t="shared" si="13"/>
        <v>11243.535387330383</v>
      </c>
      <c r="F53" s="35">
        <f t="shared" si="14"/>
        <v>1203.2246126696173</v>
      </c>
      <c r="G53" s="35">
        <f t="shared" si="7"/>
        <v>214265.67566566373</v>
      </c>
      <c r="H53" s="35">
        <f t="shared" si="8"/>
        <v>121796.84433433622</v>
      </c>
      <c r="I53" s="35">
        <f t="shared" si="5"/>
        <v>35734.32433433627</v>
      </c>
      <c r="J53" s="21"/>
      <c r="K53" s="20"/>
      <c r="L53" s="21"/>
      <c r="M53" s="21"/>
      <c r="N53" s="22"/>
      <c r="O53" s="22"/>
      <c r="P53" s="22"/>
      <c r="Q53" s="21"/>
    </row>
    <row r="54" spans="1:17" ht="11.7" customHeight="1" x14ac:dyDescent="0.25">
      <c r="A54" s="20"/>
      <c r="B54" s="32">
        <f>IF(ISTEXT(B53),"",IF(MAX(B$28:B53)=Q$212,"",B53+1))</f>
        <v>2048</v>
      </c>
      <c r="C54" s="35">
        <f t="shared" si="12"/>
        <v>35734.32433433627</v>
      </c>
      <c r="D54" s="35">
        <f t="shared" si="6"/>
        <v>12446.76</v>
      </c>
      <c r="E54" s="35">
        <f t="shared" si="13"/>
        <v>11571.080744573734</v>
      </c>
      <c r="F54" s="35">
        <f t="shared" si="14"/>
        <v>875.67925542626654</v>
      </c>
      <c r="G54" s="35">
        <f t="shared" si="7"/>
        <v>225836.75641023746</v>
      </c>
      <c r="H54" s="35">
        <f t="shared" si="8"/>
        <v>122672.52358976248</v>
      </c>
      <c r="I54" s="35">
        <f t="shared" si="5"/>
        <v>24163.243589762536</v>
      </c>
      <c r="J54" s="21"/>
      <c r="K54" s="20"/>
      <c r="L54" s="21"/>
      <c r="M54" s="21"/>
      <c r="N54" s="22"/>
      <c r="O54" s="22"/>
      <c r="P54" s="22"/>
      <c r="Q54" s="21"/>
    </row>
    <row r="55" spans="1:17" ht="11.7" customHeight="1" x14ac:dyDescent="0.25">
      <c r="A55" s="20"/>
      <c r="B55" s="32">
        <f>IF(ISTEXT(B54),"",IF(MAX(B$28:B54)=Q$212,"",B54+1))</f>
        <v>2049</v>
      </c>
      <c r="C55" s="35">
        <f t="shared" si="12"/>
        <v>24163.243589762536</v>
      </c>
      <c r="D55" s="35">
        <f t="shared" si="6"/>
        <v>12446.76</v>
      </c>
      <c r="E55" s="35">
        <f t="shared" si="13"/>
        <v>11908.168114836742</v>
      </c>
      <c r="F55" s="35">
        <f t="shared" si="14"/>
        <v>538.59188516325776</v>
      </c>
      <c r="G55" s="35">
        <f t="shared" si="7"/>
        <v>237744.9245250742</v>
      </c>
      <c r="H55" s="35">
        <f t="shared" si="8"/>
        <v>123211.11547492574</v>
      </c>
      <c r="I55" s="35">
        <f t="shared" si="5"/>
        <v>12255.075474925794</v>
      </c>
      <c r="J55" s="21"/>
      <c r="K55" s="20"/>
      <c r="L55" s="21"/>
      <c r="M55" s="21"/>
      <c r="N55" s="22"/>
      <c r="O55" s="22"/>
      <c r="P55" s="22"/>
      <c r="Q55" s="21"/>
    </row>
    <row r="56" spans="1:17" ht="11.7" customHeight="1" x14ac:dyDescent="0.25">
      <c r="A56" s="20"/>
      <c r="B56" s="32">
        <f>IF(ISTEXT(B55),"",IF(MAX(B$28:B55)=Q$212,"",B55+1))</f>
        <v>2050</v>
      </c>
      <c r="C56" s="35">
        <f t="shared" si="12"/>
        <v>12255.075474925794</v>
      </c>
      <c r="D56" s="35">
        <f t="shared" si="6"/>
        <v>12446.76</v>
      </c>
      <c r="E56" s="35">
        <f t="shared" si="13"/>
        <v>12255.075474925794</v>
      </c>
      <c r="F56" s="35">
        <f t="shared" si="14"/>
        <v>191.68452507420625</v>
      </c>
      <c r="G56" s="35">
        <f t="shared" si="7"/>
        <v>250000</v>
      </c>
      <c r="H56" s="35">
        <f t="shared" si="8"/>
        <v>123402.79999999994</v>
      </c>
      <c r="I56" s="35">
        <f t="shared" si="5"/>
        <v>0</v>
      </c>
      <c r="J56" s="21"/>
      <c r="K56" s="20"/>
      <c r="L56" s="21"/>
      <c r="M56" s="21"/>
      <c r="N56" s="22"/>
      <c r="O56" s="22"/>
      <c r="P56" s="22"/>
      <c r="Q56" s="21"/>
    </row>
    <row r="57" spans="1:17" ht="11.7" customHeight="1" x14ac:dyDescent="0.25">
      <c r="A57" s="20"/>
      <c r="B57" s="32" t="str">
        <f>IF(ISTEXT(B56),"",IF(MAX(B$28:B56)=Q$212,"",B56+1))</f>
        <v/>
      </c>
      <c r="C57" s="35" t="str">
        <f t="shared" si="12"/>
        <v/>
      </c>
      <c r="D57" s="35" t="str">
        <f t="shared" si="6"/>
        <v/>
      </c>
      <c r="E57" s="35" t="str">
        <f t="shared" si="13"/>
        <v/>
      </c>
      <c r="F57" s="35" t="str">
        <f t="shared" si="14"/>
        <v/>
      </c>
      <c r="G57" s="35" t="str">
        <f t="shared" si="7"/>
        <v/>
      </c>
      <c r="H57" s="35" t="str">
        <f t="shared" si="8"/>
        <v/>
      </c>
      <c r="I57" s="35" t="str">
        <f t="shared" si="5"/>
        <v/>
      </c>
      <c r="J57" s="21"/>
      <c r="K57" s="20"/>
      <c r="L57" s="21"/>
      <c r="M57" s="21"/>
      <c r="N57" s="22"/>
      <c r="O57" s="22"/>
      <c r="P57" s="22"/>
      <c r="Q57" s="21"/>
    </row>
    <row r="58" spans="1:17" x14ac:dyDescent="0.25">
      <c r="A58" s="4"/>
      <c r="B58" s="4"/>
      <c r="C58" s="36"/>
      <c r="D58" s="36"/>
      <c r="E58" s="36"/>
      <c r="F58" s="36"/>
      <c r="G58" s="36"/>
      <c r="H58" s="36"/>
      <c r="I58" s="36"/>
      <c r="J58" s="4"/>
      <c r="K58" s="4"/>
      <c r="L58" s="4"/>
      <c r="M58" s="4"/>
      <c r="N58" s="5"/>
      <c r="O58" s="5"/>
      <c r="P58" s="5"/>
      <c r="Q58" s="4"/>
    </row>
    <row r="59" spans="1:17" x14ac:dyDescent="0.25">
      <c r="A59" s="4"/>
      <c r="B59" s="4"/>
      <c r="C59" s="36"/>
      <c r="D59" s="36"/>
      <c r="E59" s="36"/>
      <c r="F59" s="36"/>
      <c r="G59" s="36"/>
      <c r="H59" s="36"/>
      <c r="I59" s="36"/>
      <c r="J59" s="4"/>
      <c r="K59" s="4"/>
      <c r="L59" s="4"/>
      <c r="M59" s="4"/>
      <c r="N59" s="5"/>
      <c r="O59" s="5"/>
      <c r="P59" s="5"/>
      <c r="Q59" s="4"/>
    </row>
    <row r="60" spans="1:17" x14ac:dyDescent="0.25">
      <c r="A60" s="4"/>
      <c r="B60" s="4"/>
      <c r="C60" s="36"/>
      <c r="D60" s="36"/>
      <c r="E60" s="36"/>
      <c r="F60" s="36"/>
      <c r="G60" s="36"/>
      <c r="H60" s="36"/>
      <c r="I60" s="36"/>
      <c r="J60" s="4"/>
      <c r="K60" s="4"/>
      <c r="L60" s="4"/>
      <c r="M60" s="4"/>
      <c r="N60" s="5"/>
      <c r="O60" s="5"/>
      <c r="P60" s="5"/>
      <c r="Q60" s="4"/>
    </row>
    <row r="61" spans="1:17" x14ac:dyDescent="0.25">
      <c r="A61" s="4"/>
      <c r="B61" s="4"/>
      <c r="C61" s="36"/>
      <c r="D61" s="36"/>
      <c r="E61" s="36"/>
      <c r="F61" s="36"/>
      <c r="G61" s="36"/>
      <c r="H61" s="36"/>
      <c r="I61" s="36"/>
      <c r="J61" s="4"/>
      <c r="K61" s="4"/>
      <c r="L61" s="4"/>
      <c r="M61" s="4"/>
      <c r="N61" s="5"/>
      <c r="O61" s="5"/>
      <c r="P61" s="5"/>
      <c r="Q61" s="4"/>
    </row>
    <row r="62" spans="1:17" x14ac:dyDescent="0.25">
      <c r="A62" s="4"/>
      <c r="B62" s="4"/>
      <c r="C62" s="36"/>
      <c r="D62" s="36"/>
      <c r="E62" s="36"/>
      <c r="F62" s="36"/>
      <c r="G62" s="36"/>
      <c r="H62" s="36"/>
      <c r="I62" s="36"/>
      <c r="J62" s="4"/>
      <c r="K62" s="4"/>
      <c r="L62" s="4"/>
      <c r="M62" s="4"/>
      <c r="N62" s="5"/>
      <c r="O62" s="5"/>
      <c r="P62" s="5"/>
      <c r="Q62" s="4"/>
    </row>
    <row r="63" spans="1:17" x14ac:dyDescent="0.25">
      <c r="A63" s="4"/>
      <c r="B63" s="4"/>
      <c r="C63" s="36"/>
      <c r="D63" s="36"/>
      <c r="E63" s="36"/>
      <c r="F63" s="36"/>
      <c r="G63" s="36"/>
      <c r="H63" s="36"/>
      <c r="I63" s="36"/>
      <c r="J63" s="4"/>
      <c r="K63" s="4"/>
      <c r="L63" s="4"/>
      <c r="M63" s="4"/>
      <c r="N63" s="5"/>
      <c r="O63" s="5"/>
      <c r="P63" s="5"/>
      <c r="Q63" s="4"/>
    </row>
    <row r="64" spans="1:17" x14ac:dyDescent="0.25">
      <c r="A64" s="4"/>
      <c r="B64" s="4"/>
      <c r="C64" s="36"/>
      <c r="D64" s="36"/>
      <c r="E64" s="36"/>
      <c r="F64" s="36"/>
      <c r="G64" s="36"/>
      <c r="H64" s="36"/>
      <c r="I64" s="36"/>
      <c r="J64" s="4"/>
      <c r="K64" s="4"/>
      <c r="L64" s="4"/>
      <c r="M64" s="4"/>
      <c r="N64" s="5"/>
      <c r="O64" s="5"/>
      <c r="P64" s="5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4"/>
    </row>
    <row r="114" spans="1:1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4"/>
    </row>
    <row r="115" spans="1:1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4"/>
    </row>
    <row r="116" spans="1:1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4"/>
    </row>
    <row r="117" spans="1:1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4"/>
    </row>
    <row r="118" spans="1:1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4"/>
    </row>
    <row r="119" spans="1:1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4"/>
    </row>
    <row r="120" spans="1:1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4"/>
    </row>
    <row r="121" spans="1:1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4"/>
    </row>
    <row r="122" spans="1:1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4"/>
    </row>
    <row r="123" spans="1:1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4"/>
    </row>
    <row r="124" spans="1:1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4"/>
    </row>
    <row r="125" spans="1:1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4"/>
    </row>
    <row r="126" spans="1:1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4"/>
    </row>
    <row r="127" spans="1:1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4"/>
    </row>
    <row r="128" spans="1:1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4"/>
    </row>
    <row r="129" spans="1:1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4"/>
    </row>
    <row r="130" spans="1:1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4"/>
    </row>
    <row r="131" spans="1:1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4"/>
    </row>
    <row r="132" spans="1:1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4"/>
    </row>
    <row r="133" spans="1:1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4"/>
    </row>
    <row r="134" spans="1:1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4"/>
    </row>
    <row r="135" spans="1:1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4"/>
    </row>
    <row r="136" spans="1:1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4"/>
    </row>
    <row r="137" spans="1:1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4"/>
    </row>
    <row r="138" spans="1:1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4"/>
    </row>
    <row r="139" spans="1:1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4"/>
    </row>
    <row r="140" spans="1:1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4"/>
    </row>
    <row r="141" spans="1:1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4"/>
    </row>
    <row r="142" spans="1:1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4"/>
    </row>
    <row r="143" spans="1:1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4"/>
    </row>
    <row r="144" spans="1:1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4"/>
    </row>
    <row r="145" spans="1:1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4"/>
    </row>
    <row r="146" spans="1:1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4"/>
    </row>
    <row r="147" spans="1:1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4"/>
    </row>
    <row r="148" spans="1:1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4"/>
    </row>
    <row r="149" spans="1:1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4"/>
    </row>
    <row r="150" spans="1:1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4"/>
    </row>
    <row r="151" spans="1:1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4"/>
    </row>
    <row r="152" spans="1:1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4"/>
    </row>
    <row r="153" spans="1:1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4"/>
    </row>
    <row r="154" spans="1:1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4"/>
    </row>
    <row r="155" spans="1:1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4"/>
    </row>
    <row r="156" spans="1:1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4"/>
    </row>
    <row r="157" spans="1:1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4"/>
    </row>
    <row r="158" spans="1:1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4"/>
    </row>
    <row r="159" spans="1:1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4"/>
    </row>
    <row r="160" spans="1:1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4"/>
    </row>
    <row r="161" spans="1:1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4"/>
    </row>
    <row r="162" spans="1:1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4"/>
    </row>
    <row r="163" spans="1:1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4"/>
    </row>
    <row r="164" spans="1:1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4"/>
    </row>
    <row r="165" spans="1:1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4"/>
    </row>
    <row r="166" spans="1:1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4"/>
    </row>
    <row r="167" spans="1:1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4"/>
    </row>
    <row r="168" spans="1:1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4"/>
    </row>
    <row r="169" spans="1:1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4"/>
    </row>
    <row r="170" spans="1:1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4"/>
    </row>
    <row r="171" spans="1:1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4"/>
    </row>
    <row r="172" spans="1:1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4"/>
    </row>
    <row r="173" spans="1:1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4"/>
    </row>
    <row r="174" spans="1:1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4"/>
    </row>
    <row r="175" spans="1:1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4"/>
    </row>
    <row r="176" spans="1:1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4"/>
    </row>
    <row r="177" spans="1:1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4"/>
    </row>
    <row r="178" spans="1:1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4"/>
    </row>
    <row r="179" spans="1:1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4"/>
    </row>
    <row r="180" spans="1:1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4"/>
    </row>
    <row r="181" spans="1:1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4"/>
    </row>
    <row r="182" spans="1:1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4"/>
    </row>
    <row r="183" spans="1:1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4"/>
    </row>
    <row r="184" spans="1:1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4"/>
    </row>
    <row r="185" spans="1:1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4"/>
    </row>
    <row r="186" spans="1:1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4"/>
    </row>
    <row r="187" spans="1:1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4"/>
    </row>
    <row r="188" spans="1:1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4"/>
    </row>
    <row r="189" spans="1:1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4"/>
    </row>
    <row r="190" spans="1:1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5"/>
      <c r="Q190" s="4"/>
    </row>
    <row r="191" spans="1:17" ht="13.8" hidden="1" thickTop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7" t="s">
        <v>6</v>
      </c>
      <c r="N191" s="8"/>
      <c r="O191" s="8"/>
      <c r="P191" s="8"/>
      <c r="Q191" s="9"/>
    </row>
    <row r="192" spans="1:17" hidden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0"/>
      <c r="N192" s="11"/>
      <c r="O192" s="11"/>
      <c r="P192" s="11"/>
      <c r="Q192" s="12"/>
    </row>
    <row r="193" spans="1:17" hidden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0">
        <v>1</v>
      </c>
      <c r="N193" s="11" t="s">
        <v>7</v>
      </c>
      <c r="O193" s="11">
        <f>IF(ISNA(MATCH(PROPER(LEFT(E9,3)),Q193:Q204,0)),1,MATCH(PROPER(LEFT(E9,3)),Q193:Q204,0))</f>
        <v>1</v>
      </c>
      <c r="P193" s="11"/>
      <c r="Q193" s="12" t="s">
        <v>7</v>
      </c>
    </row>
    <row r="194" spans="1:17" hidden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0">
        <v>2</v>
      </c>
      <c r="N194" s="11" t="s">
        <v>8</v>
      </c>
      <c r="O194" s="11">
        <f t="shared" ref="O194:O204" si="15">IF(O193=12,1,O193+1)</f>
        <v>2</v>
      </c>
      <c r="P194" s="11"/>
      <c r="Q194" s="12" t="s">
        <v>8</v>
      </c>
    </row>
    <row r="195" spans="1:17" hidden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10">
        <v>3</v>
      </c>
      <c r="N195" s="11" t="s">
        <v>9</v>
      </c>
      <c r="O195" s="11">
        <f t="shared" si="15"/>
        <v>3</v>
      </c>
      <c r="P195" s="11"/>
      <c r="Q195" s="12" t="s">
        <v>9</v>
      </c>
    </row>
    <row r="196" spans="1:17" hidden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10">
        <v>4</v>
      </c>
      <c r="N196" s="11" t="s">
        <v>10</v>
      </c>
      <c r="O196" s="11">
        <f t="shared" si="15"/>
        <v>4</v>
      </c>
      <c r="P196" s="11"/>
      <c r="Q196" s="12" t="s">
        <v>10</v>
      </c>
    </row>
    <row r="197" spans="1:17" hidden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10">
        <v>5</v>
      </c>
      <c r="N197" s="11" t="s">
        <v>11</v>
      </c>
      <c r="O197" s="11">
        <f t="shared" si="15"/>
        <v>5</v>
      </c>
      <c r="P197" s="11"/>
      <c r="Q197" s="12" t="s">
        <v>11</v>
      </c>
    </row>
    <row r="198" spans="1:17" hidden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0">
        <v>6</v>
      </c>
      <c r="N198" s="11" t="s">
        <v>12</v>
      </c>
      <c r="O198" s="11">
        <f t="shared" si="15"/>
        <v>6</v>
      </c>
      <c r="P198" s="11"/>
      <c r="Q198" s="12" t="s">
        <v>12</v>
      </c>
    </row>
    <row r="199" spans="1:17" hidden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0">
        <v>7</v>
      </c>
      <c r="N199" s="11" t="s">
        <v>13</v>
      </c>
      <c r="O199" s="11">
        <f t="shared" si="15"/>
        <v>7</v>
      </c>
      <c r="P199" s="11"/>
      <c r="Q199" s="12" t="s">
        <v>13</v>
      </c>
    </row>
    <row r="200" spans="1:17" hidden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0">
        <v>8</v>
      </c>
      <c r="N200" s="11" t="s">
        <v>14</v>
      </c>
      <c r="O200" s="11">
        <f t="shared" si="15"/>
        <v>8</v>
      </c>
      <c r="P200" s="11"/>
      <c r="Q200" s="12" t="s">
        <v>14</v>
      </c>
    </row>
    <row r="201" spans="1:17" hidden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0">
        <v>9</v>
      </c>
      <c r="N201" s="11" t="s">
        <v>15</v>
      </c>
      <c r="O201" s="11">
        <f t="shared" si="15"/>
        <v>9</v>
      </c>
      <c r="P201" s="11"/>
      <c r="Q201" s="12" t="s">
        <v>15</v>
      </c>
    </row>
    <row r="202" spans="1:17" hidden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10">
        <v>10</v>
      </c>
      <c r="N202" s="11" t="s">
        <v>16</v>
      </c>
      <c r="O202" s="11">
        <f t="shared" si="15"/>
        <v>10</v>
      </c>
      <c r="P202" s="11"/>
      <c r="Q202" s="12" t="s">
        <v>16</v>
      </c>
    </row>
    <row r="203" spans="1:17" hidden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10">
        <v>11</v>
      </c>
      <c r="N203" s="11" t="s">
        <v>17</v>
      </c>
      <c r="O203" s="11">
        <f t="shared" si="15"/>
        <v>11</v>
      </c>
      <c r="P203" s="11"/>
      <c r="Q203" s="12" t="s">
        <v>17</v>
      </c>
    </row>
    <row r="204" spans="1:17" hidden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0">
        <v>12</v>
      </c>
      <c r="N204" s="11" t="s">
        <v>18</v>
      </c>
      <c r="O204" s="11">
        <f t="shared" si="15"/>
        <v>12</v>
      </c>
      <c r="P204" s="11"/>
      <c r="Q204" s="12" t="s">
        <v>18</v>
      </c>
    </row>
    <row r="205" spans="1:17" hidden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10"/>
      <c r="N205" s="11"/>
      <c r="O205" s="11"/>
      <c r="P205" s="11"/>
      <c r="Q205" s="12"/>
    </row>
    <row r="206" spans="1:17" hidden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13">
        <f>IF(C13="Jan",24,MATCH("Jan",C13:C24,0)+11)</f>
        <v>24</v>
      </c>
      <c r="N206" s="11">
        <f>Q209-M206</f>
        <v>336</v>
      </c>
      <c r="O206" s="11"/>
      <c r="P206" s="11"/>
      <c r="Q206" s="12"/>
    </row>
    <row r="207" spans="1:17" hidden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10">
        <f>MIN(Q$209,M206+12)</f>
        <v>36</v>
      </c>
      <c r="N207" s="11">
        <f>Q209-M207</f>
        <v>324</v>
      </c>
      <c r="O207" s="11"/>
      <c r="P207" s="11"/>
      <c r="Q207" s="12"/>
    </row>
    <row r="208" spans="1:17" hidden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10">
        <f t="shared" ref="M208:M223" si="16">MIN(Q$209,M207+12)</f>
        <v>48</v>
      </c>
      <c r="N208" s="11">
        <f>Q209-M208</f>
        <v>312</v>
      </c>
      <c r="O208" s="11"/>
      <c r="P208" s="11"/>
      <c r="Q208" s="12"/>
    </row>
    <row r="209" spans="1:17" hidden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0">
        <f t="shared" si="16"/>
        <v>60</v>
      </c>
      <c r="N209" s="11">
        <f>Q209-M209</f>
        <v>300</v>
      </c>
      <c r="O209" s="11"/>
      <c r="P209" s="11" t="s">
        <v>19</v>
      </c>
      <c r="Q209" s="12">
        <f>E7*12</f>
        <v>360</v>
      </c>
    </row>
    <row r="210" spans="1:17" hidden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0">
        <f t="shared" si="16"/>
        <v>72</v>
      </c>
      <c r="N210" s="11">
        <f>Q209-M210</f>
        <v>288</v>
      </c>
      <c r="O210" s="11"/>
      <c r="P210" s="11" t="s">
        <v>20</v>
      </c>
      <c r="Q210" s="14">
        <f>E8</f>
        <v>2021</v>
      </c>
    </row>
    <row r="211" spans="1:17" hidden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0">
        <f t="shared" si="16"/>
        <v>84</v>
      </c>
      <c r="N211" s="11">
        <f>Q209-M211</f>
        <v>276</v>
      </c>
      <c r="O211" s="11"/>
      <c r="P211" s="11" t="s">
        <v>21</v>
      </c>
      <c r="Q211" s="12">
        <f>Q209/12</f>
        <v>30</v>
      </c>
    </row>
    <row r="212" spans="1:17" hidden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0">
        <f t="shared" si="16"/>
        <v>96</v>
      </c>
      <c r="N212" s="11">
        <f>Q209-M212</f>
        <v>264</v>
      </c>
      <c r="O212" s="11"/>
      <c r="P212" s="11" t="s">
        <v>22</v>
      </c>
      <c r="Q212" s="14">
        <f>IF(E8,Q211+Q210-IF(PROPER(LEFT(C13,3))="Jan",1,0),"")</f>
        <v>2050</v>
      </c>
    </row>
    <row r="213" spans="1:17" hidden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0">
        <f t="shared" si="16"/>
        <v>108</v>
      </c>
      <c r="N213" s="11">
        <f>Q209-M213</f>
        <v>252</v>
      </c>
      <c r="O213" s="11"/>
      <c r="P213" s="11" t="s">
        <v>23</v>
      </c>
      <c r="Q213" s="12">
        <f>O204</f>
        <v>12</v>
      </c>
    </row>
    <row r="214" spans="1:17" hidden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0">
        <f t="shared" si="16"/>
        <v>120</v>
      </c>
      <c r="N214" s="11">
        <f>Q209-M214</f>
        <v>240</v>
      </c>
      <c r="O214" s="11"/>
      <c r="P214" s="11"/>
      <c r="Q214" s="12"/>
    </row>
    <row r="215" spans="1:17" hidden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10">
        <f t="shared" si="16"/>
        <v>132</v>
      </c>
      <c r="N215" s="11">
        <f>Q209-M215</f>
        <v>228</v>
      </c>
      <c r="O215" s="11"/>
      <c r="P215" s="11"/>
      <c r="Q215" s="12"/>
    </row>
    <row r="216" spans="1:17" hidden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0">
        <f t="shared" si="16"/>
        <v>144</v>
      </c>
      <c r="N216" s="11">
        <f>Q209-M216</f>
        <v>216</v>
      </c>
      <c r="O216" s="11"/>
      <c r="P216" s="11"/>
      <c r="Q216" s="12"/>
    </row>
    <row r="217" spans="1:17" hidden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10">
        <f t="shared" si="16"/>
        <v>156</v>
      </c>
      <c r="N217" s="11">
        <f>Q209-M217</f>
        <v>204</v>
      </c>
      <c r="O217" s="11"/>
      <c r="P217" s="11"/>
      <c r="Q217" s="12"/>
    </row>
    <row r="218" spans="1:17" hidden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0">
        <f t="shared" si="16"/>
        <v>168</v>
      </c>
      <c r="N218" s="11">
        <f>Q209-M218</f>
        <v>192</v>
      </c>
      <c r="O218" s="11"/>
      <c r="P218" s="11"/>
      <c r="Q218" s="12"/>
    </row>
    <row r="219" spans="1:17" hidden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0">
        <f t="shared" si="16"/>
        <v>180</v>
      </c>
      <c r="N219" s="11">
        <f>Q209-M219</f>
        <v>180</v>
      </c>
      <c r="O219" s="11"/>
      <c r="P219" s="11"/>
      <c r="Q219" s="12"/>
    </row>
    <row r="220" spans="1:17" hidden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0">
        <f t="shared" si="16"/>
        <v>192</v>
      </c>
      <c r="N220" s="11">
        <f>Q209-M220</f>
        <v>168</v>
      </c>
      <c r="O220" s="11"/>
      <c r="P220" s="11"/>
      <c r="Q220" s="12"/>
    </row>
    <row r="221" spans="1:17" hidden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0">
        <f t="shared" si="16"/>
        <v>204</v>
      </c>
      <c r="N221" s="11">
        <f>Q209-M221</f>
        <v>156</v>
      </c>
      <c r="O221" s="11"/>
      <c r="P221" s="11"/>
      <c r="Q221" s="12"/>
    </row>
    <row r="222" spans="1:17" hidden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0">
        <f t="shared" si="16"/>
        <v>216</v>
      </c>
      <c r="N222" s="11">
        <f>Q209-M222</f>
        <v>144</v>
      </c>
      <c r="O222" s="11"/>
      <c r="P222" s="11"/>
      <c r="Q222" s="12"/>
    </row>
    <row r="223" spans="1:17" hidden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0">
        <f t="shared" si="16"/>
        <v>228</v>
      </c>
      <c r="N223" s="11">
        <f>Q209-M223</f>
        <v>132</v>
      </c>
      <c r="O223" s="11"/>
      <c r="P223" s="11"/>
      <c r="Q223" s="12"/>
    </row>
    <row r="224" spans="1:17" hidden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10">
        <f t="shared" ref="M224:M235" si="17">MIN(Q$209,M223+12)</f>
        <v>240</v>
      </c>
      <c r="N224" s="11">
        <f>Q209-M224</f>
        <v>120</v>
      </c>
      <c r="O224" s="11"/>
      <c r="P224" s="11"/>
      <c r="Q224" s="12"/>
    </row>
    <row r="225" spans="1:17" hidden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0">
        <f t="shared" si="17"/>
        <v>252</v>
      </c>
      <c r="N225" s="11">
        <f>Q209-M225</f>
        <v>108</v>
      </c>
      <c r="O225" s="11"/>
      <c r="P225" s="11"/>
      <c r="Q225" s="12"/>
    </row>
    <row r="226" spans="1:17" hidden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10">
        <f t="shared" si="17"/>
        <v>264</v>
      </c>
      <c r="N226" s="11">
        <f>Q209-M226</f>
        <v>96</v>
      </c>
      <c r="O226" s="11"/>
      <c r="P226" s="11"/>
      <c r="Q226" s="12"/>
    </row>
    <row r="227" spans="1:17" hidden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10">
        <f t="shared" si="17"/>
        <v>276</v>
      </c>
      <c r="N227" s="11">
        <f>Q209-M227</f>
        <v>84</v>
      </c>
      <c r="O227" s="11"/>
      <c r="P227" s="11"/>
      <c r="Q227" s="12"/>
    </row>
    <row r="228" spans="1:17" hidden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10">
        <f t="shared" si="17"/>
        <v>288</v>
      </c>
      <c r="N228" s="11">
        <f>Q209-M228</f>
        <v>72</v>
      </c>
      <c r="O228" s="11"/>
      <c r="P228" s="11"/>
      <c r="Q228" s="12"/>
    </row>
    <row r="229" spans="1:17" hidden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10">
        <f t="shared" si="17"/>
        <v>300</v>
      </c>
      <c r="N229" s="11">
        <f>Q209-M229</f>
        <v>60</v>
      </c>
      <c r="O229" s="11"/>
      <c r="P229" s="11"/>
      <c r="Q229" s="12"/>
    </row>
    <row r="230" spans="1:17" hidden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10">
        <f t="shared" si="17"/>
        <v>312</v>
      </c>
      <c r="N230" s="11">
        <f>Q209-M230</f>
        <v>48</v>
      </c>
      <c r="O230" s="11"/>
      <c r="P230" s="11"/>
      <c r="Q230" s="12"/>
    </row>
    <row r="231" spans="1:17" hidden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10">
        <f t="shared" si="17"/>
        <v>324</v>
      </c>
      <c r="N231" s="11">
        <f>Q209-M231</f>
        <v>36</v>
      </c>
      <c r="O231" s="11"/>
      <c r="P231" s="11"/>
      <c r="Q231" s="12"/>
    </row>
    <row r="232" spans="1:17" hidden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10">
        <f t="shared" si="17"/>
        <v>336</v>
      </c>
      <c r="N232" s="11">
        <f>Q209-M232</f>
        <v>24</v>
      </c>
      <c r="O232" s="11"/>
      <c r="P232" s="11"/>
      <c r="Q232" s="12"/>
    </row>
    <row r="233" spans="1:17" hidden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10">
        <f t="shared" si="17"/>
        <v>348</v>
      </c>
      <c r="N233" s="11">
        <f>Q209-M233</f>
        <v>12</v>
      </c>
      <c r="O233" s="11"/>
      <c r="P233" s="11"/>
      <c r="Q233" s="12"/>
    </row>
    <row r="234" spans="1:17" hidden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0">
        <f t="shared" si="17"/>
        <v>360</v>
      </c>
      <c r="N234" s="11">
        <f>Q209-M234</f>
        <v>0</v>
      </c>
      <c r="O234" s="11"/>
      <c r="P234" s="11"/>
      <c r="Q234" s="12"/>
    </row>
    <row r="235" spans="1:17" ht="13.8" hidden="1" thickBo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15">
        <f t="shared" si="17"/>
        <v>360</v>
      </c>
      <c r="N235" s="16">
        <f>Q209-M235</f>
        <v>0</v>
      </c>
      <c r="O235" s="16"/>
      <c r="P235" s="16"/>
      <c r="Q235" s="17"/>
    </row>
  </sheetData>
  <mergeCells count="14">
    <mergeCell ref="B7:D7"/>
    <mergeCell ref="B8:D8"/>
    <mergeCell ref="B26:I26"/>
    <mergeCell ref="B11:J11"/>
    <mergeCell ref="G4:J4"/>
    <mergeCell ref="B4:E4"/>
    <mergeCell ref="B9:D9"/>
    <mergeCell ref="G5:I5"/>
    <mergeCell ref="G6:I6"/>
    <mergeCell ref="G7:I7"/>
    <mergeCell ref="G8:I8"/>
    <mergeCell ref="G9:I9"/>
    <mergeCell ref="B5:D5"/>
    <mergeCell ref="B6:D6"/>
  </mergeCells>
  <phoneticPr fontId="0" type="noConversion"/>
  <printOptions horizontalCentered="1"/>
  <pageMargins left="0.65" right="0.65" top="0.65" bottom="0.65" header="0.5" footer="0.5"/>
  <pageSetup scale="85" orientation="portrait" horizontalDpi="300" verticalDpi="300" r:id="rId1"/>
  <headerFooter alignWithMargins="0"/>
  <ignoredErrors>
    <ignoredError sqref="Q212 B13:B24 D13 G13:G24 B28 G28 I28:I57 O193 Q209:Q210 J5:J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3.2" x14ac:dyDescent="0.25"/>
  <sheetData>
    <row r="1" spans="1:2" x14ac:dyDescent="0.25">
      <c r="A1" t="s">
        <v>24</v>
      </c>
      <c r="B1" t="b">
        <v>0</v>
      </c>
    </row>
    <row r="2" spans="1:2" x14ac:dyDescent="0.25">
      <c r="A2" t="s">
        <v>25</v>
      </c>
      <c r="B2" t="b">
        <v>0</v>
      </c>
    </row>
    <row r="3" spans="1:2" x14ac:dyDescent="0.25">
      <c r="A3" t="s">
        <v>26</v>
      </c>
      <c r="B3" t="s">
        <v>28</v>
      </c>
    </row>
    <row r="4" spans="1:2" x14ac:dyDescent="0.25">
      <c r="A4" t="s">
        <v>27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Mortgage Payment Calculator</vt:lpstr>
      <vt:lpstr>'Mortgage Payment Calculator'!Print_Area</vt:lpstr>
      <vt:lpstr>TemplatePrintArea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Mortgage Payment Calculator</dc:title>
  <dc:creator>Daniel Mowbray</dc:creator>
  <cp:lastModifiedBy>Javon Franklin</cp:lastModifiedBy>
  <cp:lastPrinted>2004-04-21T16:38:50Z</cp:lastPrinted>
  <dcterms:created xsi:type="dcterms:W3CDTF">1997-03-01T10:50:09Z</dcterms:created>
  <dcterms:modified xsi:type="dcterms:W3CDTF">2021-02-14T16:12:34Z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TC010566201033</vt:lpwstr>
  </property>
</Properties>
</file>